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Šī_darbgrāmata" defaultThemeVersion="124226"/>
  <mc:AlternateContent xmlns:mc="http://schemas.openxmlformats.org/markup-compatibility/2006">
    <mc:Choice Requires="x15">
      <x15ac:absPath xmlns:x15ac="http://schemas.microsoft.com/office/spreadsheetml/2010/11/ac" url="C:\Users\sanita.djadela\Desktop\sagatave\"/>
    </mc:Choice>
  </mc:AlternateContent>
  <xr:revisionPtr revIDLastSave="0" documentId="13_ncr:1_{9A1C7F29-BD10-42D7-BBD8-D83F098BB4A8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1.pielikums" sheetId="4" r:id="rId1"/>
    <sheet name="2.pielikums" sheetId="3" r:id="rId2"/>
    <sheet name="3.pielikums" sheetId="2" r:id="rId3"/>
    <sheet name="4.pielikums" sheetId="1" r:id="rId4"/>
  </sheets>
  <definedNames>
    <definedName name="_xlnm.Print_Area" localSheetId="3">'4.pielikums'!$A$1:$P$620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2" i="1" l="1"/>
  <c r="C612" i="1"/>
  <c r="B612" i="1"/>
  <c r="F611" i="1"/>
  <c r="C611" i="1"/>
  <c r="B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C610" i="1"/>
  <c r="B610" i="1"/>
  <c r="H314" i="2" s="1"/>
  <c r="F609" i="1"/>
  <c r="C609" i="1"/>
  <c r="B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C608" i="1"/>
  <c r="B608" i="1"/>
  <c r="H238" i="2" s="1"/>
  <c r="D238" i="2" s="1"/>
  <c r="F607" i="1"/>
  <c r="C607" i="1"/>
  <c r="B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C606" i="1"/>
  <c r="B606" i="1"/>
  <c r="H315" i="2" s="1"/>
  <c r="D315" i="2" s="1"/>
  <c r="F605" i="1"/>
  <c r="C605" i="1"/>
  <c r="B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C604" i="1"/>
  <c r="B604" i="1"/>
  <c r="H313" i="2" s="1"/>
  <c r="D313" i="2" s="1"/>
  <c r="F603" i="1"/>
  <c r="C603" i="1"/>
  <c r="B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C602" i="1"/>
  <c r="B602" i="1"/>
  <c r="H312" i="2" s="1"/>
  <c r="D312" i="2" s="1"/>
  <c r="F601" i="1"/>
  <c r="C601" i="1"/>
  <c r="B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C600" i="1"/>
  <c r="B600" i="1"/>
  <c r="H97" i="2" s="1"/>
  <c r="D97" i="2" s="1"/>
  <c r="F599" i="1"/>
  <c r="C599" i="1"/>
  <c r="B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C598" i="1"/>
  <c r="B598" i="1"/>
  <c r="H242" i="2" s="1"/>
  <c r="D242" i="2" s="1"/>
  <c r="F597" i="1"/>
  <c r="C597" i="1"/>
  <c r="B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C596" i="1"/>
  <c r="B596" i="1"/>
  <c r="H241" i="2" s="1"/>
  <c r="D241" i="2" s="1"/>
  <c r="F595" i="1"/>
  <c r="C595" i="1"/>
  <c r="B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C594" i="1" s="1"/>
  <c r="B594" i="1" s="1"/>
  <c r="H240" i="2" s="1"/>
  <c r="D240" i="2" s="1"/>
  <c r="D594" i="1"/>
  <c r="F593" i="1"/>
  <c r="C593" i="1"/>
  <c r="B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C592" i="1"/>
  <c r="B592" i="1" s="1"/>
  <c r="H239" i="2" s="1"/>
  <c r="D239" i="2" s="1"/>
  <c r="F591" i="1"/>
  <c r="C591" i="1"/>
  <c r="B591" i="1"/>
  <c r="P590" i="1"/>
  <c r="O590" i="1"/>
  <c r="N590" i="1"/>
  <c r="M590" i="1"/>
  <c r="L590" i="1"/>
  <c r="K590" i="1"/>
  <c r="J590" i="1"/>
  <c r="I590" i="1"/>
  <c r="H590" i="1"/>
  <c r="G590" i="1"/>
  <c r="F590" i="1"/>
  <c r="B590" i="1" s="1"/>
  <c r="H237" i="2" s="1"/>
  <c r="D237" i="2" s="1"/>
  <c r="E590" i="1"/>
  <c r="D590" i="1"/>
  <c r="C590" i="1"/>
  <c r="F589" i="1"/>
  <c r="B589" i="1" s="1"/>
  <c r="C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C588" i="1"/>
  <c r="B588" i="1"/>
  <c r="H236" i="2" s="1"/>
  <c r="D236" i="2" s="1"/>
  <c r="F587" i="1"/>
  <c r="C587" i="1"/>
  <c r="B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C586" i="1"/>
  <c r="B586" i="1" s="1"/>
  <c r="H235" i="2" s="1"/>
  <c r="D235" i="2" s="1"/>
  <c r="F585" i="1"/>
  <c r="C585" i="1"/>
  <c r="B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C584" i="1" s="1"/>
  <c r="B584" i="1" s="1"/>
  <c r="H234" i="2" s="1"/>
  <c r="D234" i="2" s="1"/>
  <c r="F583" i="1"/>
  <c r="C583" i="1"/>
  <c r="B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C582" i="1"/>
  <c r="B582" i="1" s="1"/>
  <c r="H233" i="2" s="1"/>
  <c r="D233" i="2" s="1"/>
  <c r="F581" i="1"/>
  <c r="C581" i="1"/>
  <c r="B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C580" i="1"/>
  <c r="B580" i="1" s="1"/>
  <c r="H232" i="2" s="1"/>
  <c r="D232" i="2" s="1"/>
  <c r="F579" i="1"/>
  <c r="B579" i="1" s="1"/>
  <c r="C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C578" i="1"/>
  <c r="B578" i="1" s="1"/>
  <c r="H178" i="2" s="1"/>
  <c r="D178" i="2" s="1"/>
  <c r="F577" i="1"/>
  <c r="C577" i="1"/>
  <c r="B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C576" i="1"/>
  <c r="B576" i="1" s="1"/>
  <c r="H71" i="2" s="1"/>
  <c r="D71" i="2" s="1"/>
  <c r="F575" i="1"/>
  <c r="B575" i="1" s="1"/>
  <c r="C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C574" i="1"/>
  <c r="B574" i="1" s="1"/>
  <c r="H231" i="2" s="1"/>
  <c r="D231" i="2" s="1"/>
  <c r="F573" i="1"/>
  <c r="B573" i="1" s="1"/>
  <c r="C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C572" i="1"/>
  <c r="B572" i="1" s="1"/>
  <c r="H311" i="2" s="1"/>
  <c r="D311" i="2" s="1"/>
  <c r="F571" i="1"/>
  <c r="C571" i="1"/>
  <c r="B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C570" i="1"/>
  <c r="B570" i="1"/>
  <c r="H274" i="2" s="1"/>
  <c r="F569" i="1"/>
  <c r="C569" i="1"/>
  <c r="B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C568" i="1"/>
  <c r="B568" i="1" s="1"/>
  <c r="H228" i="2" s="1"/>
  <c r="F567" i="1"/>
  <c r="C567" i="1"/>
  <c r="B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C566" i="1" s="1"/>
  <c r="B566" i="1" s="1"/>
  <c r="H70" i="2" s="1"/>
  <c r="D70" i="2" s="1"/>
  <c r="F565" i="1"/>
  <c r="C565" i="1"/>
  <c r="B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C564" i="1"/>
  <c r="B564" i="1" s="1"/>
  <c r="H69" i="2" s="1"/>
  <c r="D69" i="2" s="1"/>
  <c r="F563" i="1"/>
  <c r="C563" i="1"/>
  <c r="B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C562" i="1" s="1"/>
  <c r="B562" i="1" s="1"/>
  <c r="H68" i="2" s="1"/>
  <c r="D68" i="2" s="1"/>
  <c r="F561" i="1"/>
  <c r="C561" i="1"/>
  <c r="B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C560" i="1" s="1"/>
  <c r="B560" i="1" s="1"/>
  <c r="H306" i="2" s="1"/>
  <c r="D306" i="2" s="1"/>
  <c r="F559" i="1"/>
  <c r="B559" i="1" s="1"/>
  <c r="C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C558" i="1" s="1"/>
  <c r="B558" i="1" s="1"/>
  <c r="H303" i="2" s="1"/>
  <c r="D303" i="2" s="1"/>
  <c r="D558" i="1"/>
  <c r="F557" i="1"/>
  <c r="C557" i="1"/>
  <c r="B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C556" i="1"/>
  <c r="B556" i="1" s="1"/>
  <c r="H307" i="2" s="1"/>
  <c r="D307" i="2" s="1"/>
  <c r="F555" i="1"/>
  <c r="B555" i="1" s="1"/>
  <c r="C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C554" i="1"/>
  <c r="B554" i="1" s="1"/>
  <c r="H310" i="2" s="1"/>
  <c r="D310" i="2" s="1"/>
  <c r="F553" i="1"/>
  <c r="C553" i="1"/>
  <c r="B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C552" i="1" s="1"/>
  <c r="B552" i="1" s="1"/>
  <c r="H175" i="2" s="1"/>
  <c r="D175" i="2" s="1"/>
  <c r="F551" i="1"/>
  <c r="B551" i="1" s="1"/>
  <c r="C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C550" i="1" s="1"/>
  <c r="B550" i="1" s="1"/>
  <c r="H177" i="2" s="1"/>
  <c r="D177" i="2" s="1"/>
  <c r="F549" i="1"/>
  <c r="C549" i="1"/>
  <c r="B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C548" i="1"/>
  <c r="B548" i="1"/>
  <c r="H67" i="2" s="1"/>
  <c r="D67" i="2" s="1"/>
  <c r="F547" i="1"/>
  <c r="C547" i="1"/>
  <c r="B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C546" i="1" s="1"/>
  <c r="B546" i="1" s="1"/>
  <c r="H297" i="2" s="1"/>
  <c r="D297" i="2" s="1"/>
  <c r="F545" i="1"/>
  <c r="B545" i="1" s="1"/>
  <c r="C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C544" i="1"/>
  <c r="B544" i="1" s="1"/>
  <c r="H176" i="2" s="1"/>
  <c r="D176" i="2" s="1"/>
  <c r="F543" i="1"/>
  <c r="C543" i="1"/>
  <c r="B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C542" i="1" s="1"/>
  <c r="B542" i="1" s="1"/>
  <c r="H96" i="2" s="1"/>
  <c r="D96" i="2" s="1"/>
  <c r="F541" i="1"/>
  <c r="C541" i="1"/>
  <c r="B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C540" i="1" s="1"/>
  <c r="B540" i="1" s="1"/>
  <c r="H95" i="2" s="1"/>
  <c r="D95" i="2" s="1"/>
  <c r="F539" i="1"/>
  <c r="C539" i="1"/>
  <c r="B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C538" i="1"/>
  <c r="B538" i="1" s="1"/>
  <c r="H94" i="2" s="1"/>
  <c r="D94" i="2" s="1"/>
  <c r="F537" i="1"/>
  <c r="B537" i="1" s="1"/>
  <c r="C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C536" i="1" s="1"/>
  <c r="B536" i="1" s="1"/>
  <c r="H93" i="2" s="1"/>
  <c r="D93" i="2" s="1"/>
  <c r="F535" i="1"/>
  <c r="C535" i="1"/>
  <c r="B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C534" i="1"/>
  <c r="B534" i="1" s="1"/>
  <c r="H299" i="2" s="1"/>
  <c r="D299" i="2" s="1"/>
  <c r="F533" i="1"/>
  <c r="C533" i="1"/>
  <c r="B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C532" i="1"/>
  <c r="B532" i="1" s="1"/>
  <c r="H298" i="2" s="1"/>
  <c r="D298" i="2" s="1"/>
  <c r="F531" i="1"/>
  <c r="C531" i="1"/>
  <c r="B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C530" i="1"/>
  <c r="B530" i="1"/>
  <c r="H302" i="2" s="1"/>
  <c r="D302" i="2" s="1"/>
  <c r="F529" i="1"/>
  <c r="C529" i="1"/>
  <c r="B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C528" i="1"/>
  <c r="B528" i="1" s="1"/>
  <c r="H65" i="2" s="1"/>
  <c r="D65" i="2" s="1"/>
  <c r="F527" i="1"/>
  <c r="B527" i="1" s="1"/>
  <c r="C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C526" i="1" s="1"/>
  <c r="B526" i="1" s="1"/>
  <c r="H230" i="2" s="1"/>
  <c r="D230" i="2" s="1"/>
  <c r="F525" i="1"/>
  <c r="C525" i="1"/>
  <c r="B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C524" i="1"/>
  <c r="B524" i="1"/>
  <c r="H172" i="2" s="1"/>
  <c r="D172" i="2" s="1"/>
  <c r="F523" i="1"/>
  <c r="C523" i="1"/>
  <c r="B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C522" i="1" s="1"/>
  <c r="B522" i="1" s="1"/>
  <c r="H174" i="2" s="1"/>
  <c r="D174" i="2" s="1"/>
  <c r="F521" i="1"/>
  <c r="C521" i="1"/>
  <c r="B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C520" i="1" s="1"/>
  <c r="B520" i="1" s="1"/>
  <c r="H173" i="2" s="1"/>
  <c r="D173" i="2" s="1"/>
  <c r="F519" i="1"/>
  <c r="B519" i="1" s="1"/>
  <c r="C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C518" i="1" s="1"/>
  <c r="B518" i="1" s="1"/>
  <c r="H171" i="2" s="1"/>
  <c r="D171" i="2" s="1"/>
  <c r="F517" i="1"/>
  <c r="B517" i="1" s="1"/>
  <c r="C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C516" i="1"/>
  <c r="B516" i="1"/>
  <c r="H229" i="2" s="1"/>
  <c r="D229" i="2" s="1"/>
  <c r="F515" i="1"/>
  <c r="C515" i="1"/>
  <c r="B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C514" i="1" s="1"/>
  <c r="B514" i="1" s="1"/>
  <c r="F513" i="1"/>
  <c r="C513" i="1"/>
  <c r="B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C512" i="1" s="1"/>
  <c r="B512" i="1" s="1"/>
  <c r="F511" i="1"/>
  <c r="B511" i="1" s="1"/>
  <c r="C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C510" i="1" s="1"/>
  <c r="B510" i="1" s="1"/>
  <c r="F509" i="1"/>
  <c r="B509" i="1" s="1"/>
  <c r="C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C508" i="1"/>
  <c r="B508" i="1" s="1"/>
  <c r="H333" i="2" s="1"/>
  <c r="D333" i="2" s="1"/>
  <c r="F507" i="1"/>
  <c r="C507" i="1"/>
  <c r="B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C506" i="1" s="1"/>
  <c r="B506" i="1" s="1"/>
  <c r="H332" i="2" s="1"/>
  <c r="D332" i="2" s="1"/>
  <c r="F505" i="1"/>
  <c r="C505" i="1"/>
  <c r="B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C504" i="1" s="1"/>
  <c r="B504" i="1" s="1"/>
  <c r="H331" i="2" s="1"/>
  <c r="D331" i="2" s="1"/>
  <c r="F503" i="1"/>
  <c r="C503" i="1"/>
  <c r="B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C502" i="1" s="1"/>
  <c r="B502" i="1" s="1"/>
  <c r="H330" i="2" s="1"/>
  <c r="D330" i="2" s="1"/>
  <c r="F501" i="1"/>
  <c r="B501" i="1" s="1"/>
  <c r="C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C500" i="1"/>
  <c r="B500" i="1"/>
  <c r="H329" i="2" s="1"/>
  <c r="D329" i="2" s="1"/>
  <c r="F499" i="1"/>
  <c r="C499" i="1"/>
  <c r="B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C498" i="1" s="1"/>
  <c r="B498" i="1" s="1"/>
  <c r="H328" i="2" s="1"/>
  <c r="D328" i="2" s="1"/>
  <c r="F497" i="1"/>
  <c r="C497" i="1"/>
  <c r="B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C496" i="1"/>
  <c r="B496" i="1" s="1"/>
  <c r="H327" i="2" s="1"/>
  <c r="D327" i="2" s="1"/>
  <c r="F495" i="1"/>
  <c r="B495" i="1" s="1"/>
  <c r="C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C494" i="1" s="1"/>
  <c r="B494" i="1" s="1"/>
  <c r="H326" i="2" s="1"/>
  <c r="D326" i="2" s="1"/>
  <c r="F493" i="1"/>
  <c r="C493" i="1"/>
  <c r="B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C492" i="1"/>
  <c r="B492" i="1" s="1"/>
  <c r="H325" i="2" s="1"/>
  <c r="D325" i="2" s="1"/>
  <c r="H491" i="1"/>
  <c r="F491" i="1"/>
  <c r="C491" i="1"/>
  <c r="B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C490" i="1" s="1"/>
  <c r="B490" i="1" s="1"/>
  <c r="H324" i="2" s="1"/>
  <c r="D324" i="2" s="1"/>
  <c r="F489" i="1"/>
  <c r="B489" i="1" s="1"/>
  <c r="C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C488" i="1" s="1"/>
  <c r="B488" i="1" s="1"/>
  <c r="H323" i="2" s="1"/>
  <c r="D323" i="2" s="1"/>
  <c r="F487" i="1"/>
  <c r="C487" i="1"/>
  <c r="B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C486" i="1" s="1"/>
  <c r="B486" i="1" s="1"/>
  <c r="H322" i="2" s="1"/>
  <c r="D322" i="2" s="1"/>
  <c r="F485" i="1"/>
  <c r="C485" i="1"/>
  <c r="B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C484" i="1"/>
  <c r="B484" i="1" s="1"/>
  <c r="H321" i="2" s="1"/>
  <c r="D321" i="2" s="1"/>
  <c r="F483" i="1"/>
  <c r="C483" i="1"/>
  <c r="B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C482" i="1"/>
  <c r="B482" i="1"/>
  <c r="H320" i="2" s="1"/>
  <c r="D320" i="2" s="1"/>
  <c r="F481" i="1"/>
  <c r="C481" i="1"/>
  <c r="B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C480" i="1" s="1"/>
  <c r="B480" i="1" s="1"/>
  <c r="H319" i="2" s="1"/>
  <c r="F479" i="1"/>
  <c r="C479" i="1"/>
  <c r="B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C478" i="1"/>
  <c r="B478" i="1" s="1"/>
  <c r="H317" i="2" s="1"/>
  <c r="F477" i="1"/>
  <c r="C477" i="1"/>
  <c r="B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C476" i="1" s="1"/>
  <c r="B476" i="1" s="1"/>
  <c r="H295" i="2" s="1"/>
  <c r="D295" i="2" s="1"/>
  <c r="F475" i="1"/>
  <c r="C475" i="1"/>
  <c r="B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C474" i="1"/>
  <c r="B474" i="1"/>
  <c r="H305" i="2" s="1"/>
  <c r="D305" i="2" s="1"/>
  <c r="F473" i="1"/>
  <c r="C473" i="1"/>
  <c r="B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C472" i="1" s="1"/>
  <c r="B472" i="1" s="1"/>
  <c r="H309" i="2" s="1"/>
  <c r="D309" i="2" s="1"/>
  <c r="F471" i="1"/>
  <c r="B471" i="1" s="1"/>
  <c r="C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C470" i="1" s="1"/>
  <c r="B470" i="1" s="1"/>
  <c r="H308" i="2" s="1"/>
  <c r="D308" i="2" s="1"/>
  <c r="F469" i="1"/>
  <c r="C469" i="1"/>
  <c r="B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C468" i="1" s="1"/>
  <c r="B468" i="1" s="1"/>
  <c r="H304" i="2" s="1"/>
  <c r="D304" i="2" s="1"/>
  <c r="F467" i="1"/>
  <c r="B467" i="1" s="1"/>
  <c r="C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C466" i="1" s="1"/>
  <c r="B466" i="1" s="1"/>
  <c r="H301" i="2" s="1"/>
  <c r="D301" i="2" s="1"/>
  <c r="F465" i="1"/>
  <c r="C465" i="1"/>
  <c r="B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C464" i="1" s="1"/>
  <c r="B464" i="1" s="1"/>
  <c r="H296" i="2" s="1"/>
  <c r="D296" i="2" s="1"/>
  <c r="F463" i="1"/>
  <c r="B463" i="1" s="1"/>
  <c r="C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C462" i="1"/>
  <c r="B462" i="1" s="1"/>
  <c r="H300" i="2" s="1"/>
  <c r="D300" i="2" s="1"/>
  <c r="F461" i="1"/>
  <c r="C461" i="1"/>
  <c r="B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C460" i="1" s="1"/>
  <c r="B460" i="1" s="1"/>
  <c r="H294" i="2" s="1"/>
  <c r="D294" i="2" s="1"/>
  <c r="F459" i="1"/>
  <c r="C459" i="1"/>
  <c r="B459" i="1" s="1"/>
  <c r="P458" i="1"/>
  <c r="O458" i="1"/>
  <c r="N458" i="1"/>
  <c r="M458" i="1"/>
  <c r="L458" i="1"/>
  <c r="K458" i="1"/>
  <c r="J458" i="1"/>
  <c r="I458" i="1"/>
  <c r="G458" i="1"/>
  <c r="F458" i="1"/>
  <c r="E458" i="1"/>
  <c r="D458" i="1"/>
  <c r="C458" i="1" s="1"/>
  <c r="B458" i="1" s="1"/>
  <c r="H293" i="2" s="1"/>
  <c r="D293" i="2" s="1"/>
  <c r="F457" i="1"/>
  <c r="C457" i="1"/>
  <c r="B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C456" i="1"/>
  <c r="B456" i="1"/>
  <c r="H292" i="2" s="1"/>
  <c r="D292" i="2" s="1"/>
  <c r="F455" i="1"/>
  <c r="B455" i="1" s="1"/>
  <c r="C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C454" i="1" s="1"/>
  <c r="B454" i="1" s="1"/>
  <c r="H291" i="2" s="1"/>
  <c r="D291" i="2" s="1"/>
  <c r="F453" i="1"/>
  <c r="C453" i="1"/>
  <c r="B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C452" i="1" s="1"/>
  <c r="B452" i="1" s="1"/>
  <c r="H290" i="2" s="1"/>
  <c r="D290" i="2" s="1"/>
  <c r="F451" i="1"/>
  <c r="B451" i="1" s="1"/>
  <c r="C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C450" i="1" s="1"/>
  <c r="B450" i="1" s="1"/>
  <c r="H289" i="2" s="1"/>
  <c r="D289" i="2" s="1"/>
  <c r="D450" i="1"/>
  <c r="F449" i="1"/>
  <c r="C449" i="1"/>
  <c r="B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C448" i="1" s="1"/>
  <c r="B448" i="1" s="1"/>
  <c r="H288" i="2" s="1"/>
  <c r="D288" i="2" s="1"/>
  <c r="F447" i="1"/>
  <c r="C447" i="1"/>
  <c r="B447" i="1"/>
  <c r="P446" i="1"/>
  <c r="O446" i="1"/>
  <c r="N446" i="1"/>
  <c r="M446" i="1"/>
  <c r="L446" i="1"/>
  <c r="K446" i="1"/>
  <c r="J446" i="1"/>
  <c r="I446" i="1"/>
  <c r="H446" i="1"/>
  <c r="G446" i="1"/>
  <c r="F446" i="1" s="1"/>
  <c r="B446" i="1" s="1"/>
  <c r="H287" i="2" s="1"/>
  <c r="D287" i="2" s="1"/>
  <c r="E446" i="1"/>
  <c r="D446" i="1"/>
  <c r="C446" i="1"/>
  <c r="F445" i="1"/>
  <c r="B445" i="1" s="1"/>
  <c r="C445" i="1"/>
  <c r="P444" i="1"/>
  <c r="O444" i="1"/>
  <c r="N444" i="1"/>
  <c r="M444" i="1"/>
  <c r="L444" i="1"/>
  <c r="K444" i="1"/>
  <c r="J444" i="1"/>
  <c r="I444" i="1"/>
  <c r="H444" i="1"/>
  <c r="G444" i="1"/>
  <c r="F444" i="1"/>
  <c r="B444" i="1" s="1"/>
  <c r="H286" i="2" s="1"/>
  <c r="D286" i="2" s="1"/>
  <c r="E444" i="1"/>
  <c r="D444" i="1"/>
  <c r="C444" i="1"/>
  <c r="F443" i="1"/>
  <c r="C443" i="1"/>
  <c r="B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C442" i="1" s="1"/>
  <c r="B442" i="1" s="1"/>
  <c r="H285" i="2" s="1"/>
  <c r="D285" i="2" s="1"/>
  <c r="H441" i="1"/>
  <c r="F441" i="1" s="1"/>
  <c r="C441" i="1"/>
  <c r="B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C440" i="1" s="1"/>
  <c r="B440" i="1" s="1"/>
  <c r="H284" i="2" s="1"/>
  <c r="D284" i="2" s="1"/>
  <c r="F439" i="1"/>
  <c r="C439" i="1"/>
  <c r="B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C438" i="1"/>
  <c r="B438" i="1"/>
  <c r="H283" i="2" s="1"/>
  <c r="D283" i="2" s="1"/>
  <c r="F437" i="1"/>
  <c r="B437" i="1" s="1"/>
  <c r="C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C436" i="1"/>
  <c r="B436" i="1" s="1"/>
  <c r="H282" i="2" s="1"/>
  <c r="D282" i="2" s="1"/>
  <c r="F435" i="1"/>
  <c r="B435" i="1" s="1"/>
  <c r="C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C434" i="1"/>
  <c r="B434" i="1" s="1"/>
  <c r="H281" i="2" s="1"/>
  <c r="D281" i="2" s="1"/>
  <c r="F433" i="1"/>
  <c r="C433" i="1"/>
  <c r="B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C432" i="1" s="1"/>
  <c r="B432" i="1" s="1"/>
  <c r="H280" i="2" s="1"/>
  <c r="D280" i="2" s="1"/>
  <c r="F431" i="1"/>
  <c r="B431" i="1" s="1"/>
  <c r="C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C430" i="1" s="1"/>
  <c r="B430" i="1" s="1"/>
  <c r="H279" i="2" s="1"/>
  <c r="D279" i="2" s="1"/>
  <c r="F429" i="1"/>
  <c r="B429" i="1" s="1"/>
  <c r="C429" i="1"/>
  <c r="P428" i="1"/>
  <c r="O428" i="1"/>
  <c r="O613" i="1" s="1"/>
  <c r="N428" i="1"/>
  <c r="N613" i="1" s="1"/>
  <c r="M428" i="1"/>
  <c r="M613" i="1" s="1"/>
  <c r="L428" i="1"/>
  <c r="L613" i="1" s="1"/>
  <c r="K428" i="1"/>
  <c r="K613" i="1" s="1"/>
  <c r="J428" i="1"/>
  <c r="J613" i="1" s="1"/>
  <c r="I428" i="1"/>
  <c r="H428" i="1"/>
  <c r="G428" i="1"/>
  <c r="F428" i="1"/>
  <c r="E428" i="1"/>
  <c r="D428" i="1"/>
  <c r="F427" i="1"/>
  <c r="F614" i="1" s="1"/>
  <c r="E56" i="4" s="1"/>
  <c r="D56" i="4" s="1"/>
  <c r="C427" i="1"/>
  <c r="B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C426" i="1"/>
  <c r="F425" i="1"/>
  <c r="C425" i="1"/>
  <c r="B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C424" i="1"/>
  <c r="B424" i="1"/>
  <c r="F423" i="1"/>
  <c r="C423" i="1"/>
  <c r="B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C422" i="1"/>
  <c r="B422" i="1"/>
  <c r="F421" i="1"/>
  <c r="C421" i="1"/>
  <c r="B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C420" i="1"/>
  <c r="B420" i="1"/>
  <c r="F419" i="1"/>
  <c r="C419" i="1"/>
  <c r="B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C418" i="1"/>
  <c r="B418" i="1"/>
  <c r="F417" i="1"/>
  <c r="C417" i="1"/>
  <c r="B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C416" i="1"/>
  <c r="B416" i="1"/>
  <c r="F415" i="1"/>
  <c r="C415" i="1"/>
  <c r="B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C414" i="1"/>
  <c r="B414" i="1"/>
  <c r="F413" i="1"/>
  <c r="C413" i="1"/>
  <c r="B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C412" i="1"/>
  <c r="B412" i="1"/>
  <c r="F411" i="1"/>
  <c r="C411" i="1"/>
  <c r="B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C410" i="1"/>
  <c r="B410" i="1"/>
  <c r="F409" i="1"/>
  <c r="C409" i="1"/>
  <c r="B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C408" i="1"/>
  <c r="B408" i="1"/>
  <c r="I407" i="1"/>
  <c r="F407" i="1"/>
  <c r="C407" i="1"/>
  <c r="B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C406" i="1"/>
  <c r="B406" i="1"/>
  <c r="F405" i="1"/>
  <c r="C405" i="1"/>
  <c r="B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C404" i="1"/>
  <c r="B404" i="1"/>
  <c r="F403" i="1"/>
  <c r="C403" i="1"/>
  <c r="B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C402" i="1"/>
  <c r="B402" i="1"/>
  <c r="F401" i="1"/>
  <c r="C401" i="1"/>
  <c r="B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C400" i="1"/>
  <c r="B400" i="1"/>
  <c r="F399" i="1"/>
  <c r="C399" i="1"/>
  <c r="B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C398" i="1"/>
  <c r="B398" i="1"/>
  <c r="F397" i="1"/>
  <c r="C397" i="1"/>
  <c r="B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C396" i="1"/>
  <c r="B396" i="1"/>
  <c r="F395" i="1"/>
  <c r="C395" i="1"/>
  <c r="B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C394" i="1"/>
  <c r="B394" i="1"/>
  <c r="F393" i="1"/>
  <c r="C393" i="1"/>
  <c r="B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C392" i="1"/>
  <c r="B392" i="1"/>
  <c r="F391" i="1"/>
  <c r="C391" i="1"/>
  <c r="B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C390" i="1"/>
  <c r="B390" i="1"/>
  <c r="F389" i="1"/>
  <c r="C389" i="1"/>
  <c r="B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C388" i="1"/>
  <c r="B388" i="1"/>
  <c r="F387" i="1"/>
  <c r="C387" i="1"/>
  <c r="B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C386" i="1"/>
  <c r="B386" i="1"/>
  <c r="F385" i="1"/>
  <c r="C385" i="1"/>
  <c r="B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C384" i="1"/>
  <c r="B384" i="1"/>
  <c r="F383" i="1"/>
  <c r="C383" i="1"/>
  <c r="B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C382" i="1"/>
  <c r="B382" i="1"/>
  <c r="F381" i="1"/>
  <c r="C381" i="1"/>
  <c r="B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C380" i="1"/>
  <c r="B380" i="1"/>
  <c r="F379" i="1"/>
  <c r="C379" i="1"/>
  <c r="B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C378" i="1"/>
  <c r="B378" i="1"/>
  <c r="F377" i="1"/>
  <c r="C377" i="1"/>
  <c r="B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C376" i="1"/>
  <c r="B376" i="1"/>
  <c r="F375" i="1"/>
  <c r="C375" i="1"/>
  <c r="B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C374" i="1"/>
  <c r="B374" i="1"/>
  <c r="F373" i="1"/>
  <c r="C373" i="1"/>
  <c r="B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C372" i="1"/>
  <c r="B372" i="1"/>
  <c r="F371" i="1"/>
  <c r="E371" i="1"/>
  <c r="D371" i="1"/>
  <c r="C371" i="1"/>
  <c r="B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C370" i="1"/>
  <c r="B370" i="1"/>
  <c r="F369" i="1"/>
  <c r="C369" i="1"/>
  <c r="B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C368" i="1"/>
  <c r="B368" i="1"/>
  <c r="F367" i="1"/>
  <c r="C367" i="1"/>
  <c r="B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C366" i="1"/>
  <c r="B366" i="1"/>
  <c r="F365" i="1"/>
  <c r="C365" i="1"/>
  <c r="B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C364" i="1"/>
  <c r="B364" i="1"/>
  <c r="F363" i="1"/>
  <c r="C363" i="1"/>
  <c r="B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C362" i="1"/>
  <c r="B362" i="1"/>
  <c r="F361" i="1"/>
  <c r="C361" i="1"/>
  <c r="B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C360" i="1"/>
  <c r="B360" i="1"/>
  <c r="F359" i="1"/>
  <c r="C359" i="1"/>
  <c r="B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C358" i="1"/>
  <c r="B358" i="1"/>
  <c r="F357" i="1"/>
  <c r="C357" i="1"/>
  <c r="B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C356" i="1"/>
  <c r="B356" i="1"/>
  <c r="F355" i="1"/>
  <c r="C355" i="1"/>
  <c r="B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C354" i="1"/>
  <c r="B354" i="1"/>
  <c r="F353" i="1"/>
  <c r="C353" i="1"/>
  <c r="B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C352" i="1"/>
  <c r="B352" i="1"/>
  <c r="F351" i="1"/>
  <c r="C351" i="1"/>
  <c r="B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C350" i="1"/>
  <c r="B350" i="1"/>
  <c r="F349" i="1"/>
  <c r="C349" i="1"/>
  <c r="B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C348" i="1"/>
  <c r="B348" i="1"/>
  <c r="F347" i="1"/>
  <c r="C347" i="1"/>
  <c r="B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C346" i="1"/>
  <c r="B346" i="1"/>
  <c r="F345" i="1"/>
  <c r="C345" i="1"/>
  <c r="B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C344" i="1"/>
  <c r="B344" i="1"/>
  <c r="F343" i="1"/>
  <c r="C343" i="1"/>
  <c r="B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C342" i="1"/>
  <c r="B342" i="1"/>
  <c r="F341" i="1"/>
  <c r="C341" i="1"/>
  <c r="B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C340" i="1"/>
  <c r="B340" i="1"/>
  <c r="F339" i="1"/>
  <c r="C339" i="1"/>
  <c r="B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C338" i="1"/>
  <c r="B338" i="1"/>
  <c r="F337" i="1"/>
  <c r="C337" i="1"/>
  <c r="B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C336" i="1"/>
  <c r="B336" i="1"/>
  <c r="F335" i="1"/>
  <c r="C335" i="1"/>
  <c r="B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C334" i="1"/>
  <c r="B334" i="1"/>
  <c r="F333" i="1"/>
  <c r="C333" i="1"/>
  <c r="B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C332" i="1"/>
  <c r="B332" i="1"/>
  <c r="F331" i="1"/>
  <c r="C331" i="1"/>
  <c r="B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C330" i="1"/>
  <c r="B330" i="1"/>
  <c r="F329" i="1"/>
  <c r="C329" i="1"/>
  <c r="B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C328" i="1"/>
  <c r="B328" i="1"/>
  <c r="F327" i="1"/>
  <c r="C327" i="1"/>
  <c r="B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C326" i="1"/>
  <c r="B326" i="1"/>
  <c r="I325" i="1"/>
  <c r="H325" i="1"/>
  <c r="F325" i="1"/>
  <c r="D325" i="1"/>
  <c r="C325" i="1"/>
  <c r="B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C324" i="1"/>
  <c r="B324" i="1"/>
  <c r="F323" i="1"/>
  <c r="C323" i="1"/>
  <c r="B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C322" i="1"/>
  <c r="B322" i="1"/>
  <c r="F321" i="1"/>
  <c r="C321" i="1"/>
  <c r="B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C320" i="1"/>
  <c r="B320" i="1"/>
  <c r="F319" i="1"/>
  <c r="C319" i="1"/>
  <c r="B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C318" i="1"/>
  <c r="B318" i="1"/>
  <c r="F317" i="1"/>
  <c r="C317" i="1"/>
  <c r="B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C316" i="1"/>
  <c r="B316" i="1"/>
  <c r="F315" i="1"/>
  <c r="C315" i="1"/>
  <c r="B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C314" i="1"/>
  <c r="B314" i="1"/>
  <c r="F313" i="1"/>
  <c r="C313" i="1"/>
  <c r="B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C312" i="1"/>
  <c r="B312" i="1"/>
  <c r="F311" i="1"/>
  <c r="C311" i="1"/>
  <c r="B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C310" i="1"/>
  <c r="B310" i="1"/>
  <c r="F309" i="1"/>
  <c r="C309" i="1"/>
  <c r="B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C308" i="1"/>
  <c r="B308" i="1"/>
  <c r="F307" i="1"/>
  <c r="C307" i="1"/>
  <c r="B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C306" i="1"/>
  <c r="B306" i="1"/>
  <c r="F305" i="1"/>
  <c r="C305" i="1"/>
  <c r="B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C304" i="1"/>
  <c r="B304" i="1"/>
  <c r="F303" i="1"/>
  <c r="C303" i="1"/>
  <c r="B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C302" i="1"/>
  <c r="B302" i="1"/>
  <c r="F301" i="1"/>
  <c r="C301" i="1"/>
  <c r="B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C300" i="1"/>
  <c r="B300" i="1"/>
  <c r="F299" i="1"/>
  <c r="C299" i="1"/>
  <c r="B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C298" i="1"/>
  <c r="B298" i="1"/>
  <c r="F297" i="1"/>
  <c r="C297" i="1"/>
  <c r="B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C296" i="1"/>
  <c r="B296" i="1"/>
  <c r="F295" i="1"/>
  <c r="C295" i="1"/>
  <c r="B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C294" i="1"/>
  <c r="B294" i="1"/>
  <c r="F293" i="1"/>
  <c r="C293" i="1"/>
  <c r="B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C292" i="1"/>
  <c r="B292" i="1"/>
  <c r="F291" i="1"/>
  <c r="C291" i="1"/>
  <c r="B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C290" i="1"/>
  <c r="B290" i="1"/>
  <c r="F289" i="1"/>
  <c r="C289" i="1"/>
  <c r="B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C288" i="1"/>
  <c r="B288" i="1"/>
  <c r="F287" i="1"/>
  <c r="C287" i="1"/>
  <c r="B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C286" i="1"/>
  <c r="B286" i="1"/>
  <c r="F285" i="1"/>
  <c r="C285" i="1"/>
  <c r="B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C284" i="1"/>
  <c r="B284" i="1"/>
  <c r="F283" i="1"/>
  <c r="C283" i="1"/>
  <c r="B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C282" i="1"/>
  <c r="B282" i="1"/>
  <c r="F281" i="1"/>
  <c r="C281" i="1"/>
  <c r="B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F279" i="1"/>
  <c r="C279" i="1"/>
  <c r="B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B278" i="1"/>
  <c r="F277" i="1"/>
  <c r="C277" i="1"/>
  <c r="B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C276" i="1"/>
  <c r="B276" i="1"/>
  <c r="F275" i="1"/>
  <c r="C275" i="1"/>
  <c r="B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C274" i="1"/>
  <c r="B274" i="1"/>
  <c r="F273" i="1"/>
  <c r="C273" i="1"/>
  <c r="B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C272" i="1"/>
  <c r="B272" i="1"/>
  <c r="F271" i="1"/>
  <c r="C271" i="1"/>
  <c r="B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B270" i="1"/>
  <c r="F269" i="1"/>
  <c r="C269" i="1"/>
  <c r="B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F267" i="1"/>
  <c r="C267" i="1"/>
  <c r="B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F265" i="1"/>
  <c r="C265" i="1"/>
  <c r="B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F263" i="1"/>
  <c r="C263" i="1"/>
  <c r="B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F261" i="1"/>
  <c r="C261" i="1"/>
  <c r="B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F259" i="1"/>
  <c r="C259" i="1"/>
  <c r="B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F257" i="1"/>
  <c r="C257" i="1"/>
  <c r="B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F255" i="1"/>
  <c r="C255" i="1"/>
  <c r="B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F253" i="1"/>
  <c r="C253" i="1"/>
  <c r="B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C252" i="1"/>
  <c r="B252" i="1"/>
  <c r="F251" i="1"/>
  <c r="C251" i="1"/>
  <c r="B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C250" i="1"/>
  <c r="B250" i="1"/>
  <c r="F249" i="1"/>
  <c r="C249" i="1"/>
  <c r="B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C248" i="1"/>
  <c r="B248" i="1"/>
  <c r="F247" i="1"/>
  <c r="C247" i="1"/>
  <c r="B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C246" i="1"/>
  <c r="B246" i="1"/>
  <c r="F245" i="1"/>
  <c r="C245" i="1"/>
  <c r="B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F243" i="1"/>
  <c r="C243" i="1"/>
  <c r="B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C242" i="1"/>
  <c r="B242" i="1"/>
  <c r="F241" i="1"/>
  <c r="C241" i="1"/>
  <c r="B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C240" i="1"/>
  <c r="B240" i="1"/>
  <c r="F239" i="1"/>
  <c r="B239" i="1" s="1"/>
  <c r="C239" i="1"/>
  <c r="P238" i="1"/>
  <c r="O238" i="1"/>
  <c r="N238" i="1"/>
  <c r="M238" i="1"/>
  <c r="L238" i="1"/>
  <c r="K238" i="1"/>
  <c r="J238" i="1"/>
  <c r="I238" i="1"/>
  <c r="H238" i="1"/>
  <c r="G238" i="1"/>
  <c r="F238" i="1"/>
  <c r="B238" i="1" s="1"/>
  <c r="H145" i="2" s="1"/>
  <c r="D145" i="2" s="1"/>
  <c r="E238" i="1"/>
  <c r="D238" i="1"/>
  <c r="C238" i="1"/>
  <c r="F237" i="1"/>
  <c r="C237" i="1"/>
  <c r="B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C236" i="1"/>
  <c r="B236" i="1"/>
  <c r="F235" i="1"/>
  <c r="C235" i="1"/>
  <c r="B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F233" i="1"/>
  <c r="C233" i="1"/>
  <c r="B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C232" i="1"/>
  <c r="B232" i="1"/>
  <c r="F231" i="1"/>
  <c r="C231" i="1"/>
  <c r="B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C230" i="1"/>
  <c r="B230" i="1"/>
  <c r="F229" i="1"/>
  <c r="C229" i="1"/>
  <c r="B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C228" i="1"/>
  <c r="B228" i="1"/>
  <c r="F227" i="1"/>
  <c r="C227" i="1"/>
  <c r="B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F225" i="1"/>
  <c r="C225" i="1"/>
  <c r="B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C224" i="1"/>
  <c r="B224" i="1"/>
  <c r="F223" i="1"/>
  <c r="C223" i="1"/>
  <c r="B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F221" i="1"/>
  <c r="C221" i="1"/>
  <c r="B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C220" i="1"/>
  <c r="B220" i="1"/>
  <c r="F219" i="1"/>
  <c r="C219" i="1"/>
  <c r="B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C218" i="1"/>
  <c r="B218" i="1"/>
  <c r="F217" i="1"/>
  <c r="C217" i="1"/>
  <c r="B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F215" i="1"/>
  <c r="C215" i="1"/>
  <c r="B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F213" i="1"/>
  <c r="C213" i="1"/>
  <c r="B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B212" i="1"/>
  <c r="F211" i="1"/>
  <c r="C211" i="1"/>
  <c r="B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F209" i="1"/>
  <c r="C209" i="1"/>
  <c r="B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F207" i="1"/>
  <c r="C207" i="1"/>
  <c r="B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F205" i="1"/>
  <c r="C205" i="1"/>
  <c r="B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H129" i="2" s="1"/>
  <c r="D129" i="2" s="1"/>
  <c r="F203" i="1"/>
  <c r="C203" i="1"/>
  <c r="B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H128" i="2" s="1"/>
  <c r="D128" i="2" s="1"/>
  <c r="F201" i="1"/>
  <c r="C201" i="1"/>
  <c r="B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H127" i="2" s="1"/>
  <c r="D127" i="2" s="1"/>
  <c r="F199" i="1"/>
  <c r="C199" i="1"/>
  <c r="B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H126" i="2" s="1"/>
  <c r="D126" i="2" s="1"/>
  <c r="I197" i="1"/>
  <c r="F197" i="1"/>
  <c r="C197" i="1"/>
  <c r="B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H125" i="2" s="1"/>
  <c r="D125" i="2" s="1"/>
  <c r="F195" i="1"/>
  <c r="C195" i="1"/>
  <c r="B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H124" i="2" s="1"/>
  <c r="D124" i="2" s="1"/>
  <c r="F193" i="1"/>
  <c r="C193" i="1"/>
  <c r="B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H123" i="2" s="1"/>
  <c r="D123" i="2" s="1"/>
  <c r="F191" i="1"/>
  <c r="C191" i="1"/>
  <c r="B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H122" i="2" s="1"/>
  <c r="D122" i="2" s="1"/>
  <c r="F189" i="1"/>
  <c r="C189" i="1"/>
  <c r="B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H121" i="2" s="1"/>
  <c r="D121" i="2" s="1"/>
  <c r="F187" i="1"/>
  <c r="C187" i="1"/>
  <c r="B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B186" i="1"/>
  <c r="H120" i="2" s="1"/>
  <c r="D120" i="2" s="1"/>
  <c r="F185" i="1"/>
  <c r="C185" i="1"/>
  <c r="B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H119" i="2" s="1"/>
  <c r="D119" i="2" s="1"/>
  <c r="F183" i="1"/>
  <c r="C183" i="1"/>
  <c r="B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H118" i="2" s="1"/>
  <c r="D118" i="2" s="1"/>
  <c r="F181" i="1"/>
  <c r="C181" i="1"/>
  <c r="B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H117" i="2" s="1"/>
  <c r="D117" i="2" s="1"/>
  <c r="F179" i="1"/>
  <c r="C179" i="1"/>
  <c r="B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H116" i="2" s="1"/>
  <c r="D116" i="2" s="1"/>
  <c r="F177" i="1"/>
  <c r="C177" i="1"/>
  <c r="B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H115" i="2" s="1"/>
  <c r="D115" i="2" s="1"/>
  <c r="F175" i="1"/>
  <c r="C175" i="1"/>
  <c r="B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H114" i="2" s="1"/>
  <c r="D114" i="2" s="1"/>
  <c r="F173" i="1"/>
  <c r="C173" i="1"/>
  <c r="B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H113" i="2" s="1"/>
  <c r="D113" i="2" s="1"/>
  <c r="F171" i="1"/>
  <c r="C171" i="1"/>
  <c r="B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H112" i="2" s="1"/>
  <c r="D112" i="2" s="1"/>
  <c r="F169" i="1"/>
  <c r="C169" i="1"/>
  <c r="B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B168" i="1"/>
  <c r="H111" i="2" s="1"/>
  <c r="D111" i="2" s="1"/>
  <c r="F167" i="1"/>
  <c r="C167" i="1"/>
  <c r="B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H110" i="2" s="1"/>
  <c r="D110" i="2" s="1"/>
  <c r="F165" i="1"/>
  <c r="C165" i="1"/>
  <c r="B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H109" i="2" s="1"/>
  <c r="D109" i="2" s="1"/>
  <c r="F163" i="1"/>
  <c r="C163" i="1"/>
  <c r="B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H108" i="2" s="1"/>
  <c r="D108" i="2" s="1"/>
  <c r="F161" i="1"/>
  <c r="C161" i="1"/>
  <c r="B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H107" i="2" s="1"/>
  <c r="D107" i="2" s="1"/>
  <c r="F159" i="1"/>
  <c r="C159" i="1"/>
  <c r="B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H106" i="2" s="1"/>
  <c r="D106" i="2" s="1"/>
  <c r="F157" i="1"/>
  <c r="C157" i="1"/>
  <c r="B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H104" i="2" s="1"/>
  <c r="D104" i="2" s="1"/>
  <c r="F155" i="1"/>
  <c r="C155" i="1"/>
  <c r="B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H103" i="2" s="1"/>
  <c r="F153" i="1"/>
  <c r="C153" i="1"/>
  <c r="B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H101" i="2" s="1"/>
  <c r="D101" i="2" s="1"/>
  <c r="F151" i="1"/>
  <c r="C151" i="1"/>
  <c r="B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H100" i="2" s="1"/>
  <c r="F149" i="1"/>
  <c r="C149" i="1"/>
  <c r="B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H92" i="2" s="1"/>
  <c r="D92" i="2" s="1"/>
  <c r="F147" i="1"/>
  <c r="C147" i="1"/>
  <c r="B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H91" i="2" s="1"/>
  <c r="D91" i="2" s="1"/>
  <c r="F145" i="1"/>
  <c r="C145" i="1"/>
  <c r="B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H90" i="2" s="1"/>
  <c r="D90" i="2" s="1"/>
  <c r="F143" i="1"/>
  <c r="C143" i="1"/>
  <c r="B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H89" i="2" s="1"/>
  <c r="D89" i="2" s="1"/>
  <c r="F141" i="1"/>
  <c r="C141" i="1"/>
  <c r="B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H88" i="2" s="1"/>
  <c r="D88" i="2" s="1"/>
  <c r="F139" i="1"/>
  <c r="C139" i="1"/>
  <c r="B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H87" i="2" s="1"/>
  <c r="D87" i="2" s="1"/>
  <c r="F137" i="1"/>
  <c r="C137" i="1"/>
  <c r="B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H86" i="2" s="1"/>
  <c r="D86" i="2" s="1"/>
  <c r="F135" i="1"/>
  <c r="C135" i="1"/>
  <c r="B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H85" i="2" s="1"/>
  <c r="D85" i="2" s="1"/>
  <c r="F133" i="1"/>
  <c r="C133" i="1"/>
  <c r="B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H84" i="2" s="1"/>
  <c r="D84" i="2" s="1"/>
  <c r="F131" i="1"/>
  <c r="C131" i="1"/>
  <c r="B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H83" i="2" s="1"/>
  <c r="D83" i="2" s="1"/>
  <c r="F129" i="1"/>
  <c r="C129" i="1"/>
  <c r="B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H82" i="2" s="1"/>
  <c r="D82" i="2" s="1"/>
  <c r="F127" i="1"/>
  <c r="C127" i="1"/>
  <c r="B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H81" i="2" s="1"/>
  <c r="D81" i="2" s="1"/>
  <c r="F125" i="1"/>
  <c r="C125" i="1"/>
  <c r="B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H80" i="2" s="1"/>
  <c r="D80" i="2" s="1"/>
  <c r="F123" i="1"/>
  <c r="C123" i="1"/>
  <c r="B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H79" i="2" s="1"/>
  <c r="D79" i="2" s="1"/>
  <c r="F121" i="1"/>
  <c r="C121" i="1"/>
  <c r="B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H78" i="2" s="1"/>
  <c r="D78" i="2" s="1"/>
  <c r="F119" i="1"/>
  <c r="C119" i="1"/>
  <c r="B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H77" i="2" s="1"/>
  <c r="D77" i="2" s="1"/>
  <c r="F117" i="1"/>
  <c r="C117" i="1"/>
  <c r="B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H76" i="2" s="1"/>
  <c r="D76" i="2" s="1"/>
  <c r="F115" i="1"/>
  <c r="C115" i="1"/>
  <c r="B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H75" i="2" s="1"/>
  <c r="D75" i="2" s="1"/>
  <c r="F113" i="1"/>
  <c r="C113" i="1"/>
  <c r="B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H74" i="2" s="1"/>
  <c r="D74" i="2" s="1"/>
  <c r="F111" i="1"/>
  <c r="C111" i="1"/>
  <c r="B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H73" i="2" s="1"/>
  <c r="F109" i="1"/>
  <c r="C109" i="1"/>
  <c r="B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H66" i="2" s="1"/>
  <c r="D66" i="2" s="1"/>
  <c r="F107" i="1"/>
  <c r="C107" i="1"/>
  <c r="B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H38" i="2" s="1"/>
  <c r="D38" i="2" s="1"/>
  <c r="F105" i="1"/>
  <c r="C105" i="1"/>
  <c r="B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H60" i="2" s="1"/>
  <c r="D60" i="2" s="1"/>
  <c r="F103" i="1"/>
  <c r="C103" i="1"/>
  <c r="B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H59" i="2" s="1"/>
  <c r="D59" i="2" s="1"/>
  <c r="F101" i="1"/>
  <c r="C101" i="1"/>
  <c r="B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H58" i="2" s="1"/>
  <c r="D58" i="2" s="1"/>
  <c r="F99" i="1"/>
  <c r="C99" i="1"/>
  <c r="B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H57" i="2" s="1"/>
  <c r="D57" i="2" s="1"/>
  <c r="F97" i="1"/>
  <c r="C97" i="1"/>
  <c r="B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H56" i="2" s="1"/>
  <c r="D56" i="2" s="1"/>
  <c r="F95" i="1"/>
  <c r="C95" i="1"/>
  <c r="B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H55" i="2" s="1"/>
  <c r="D55" i="2" s="1"/>
  <c r="F93" i="1"/>
  <c r="C93" i="1"/>
  <c r="B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H54" i="2" s="1"/>
  <c r="D54" i="2" s="1"/>
  <c r="F91" i="1"/>
  <c r="C91" i="1"/>
  <c r="B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H53" i="2" s="1"/>
  <c r="D53" i="2" s="1"/>
  <c r="F89" i="1"/>
  <c r="C89" i="1"/>
  <c r="B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H52" i="2" s="1"/>
  <c r="D52" i="2" s="1"/>
  <c r="F87" i="1"/>
  <c r="C87" i="1"/>
  <c r="B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H51" i="2" s="1"/>
  <c r="D51" i="2" s="1"/>
  <c r="F85" i="1"/>
  <c r="C85" i="1"/>
  <c r="B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H50" i="2" s="1"/>
  <c r="D50" i="2" s="1"/>
  <c r="F83" i="1"/>
  <c r="C83" i="1"/>
  <c r="B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H49" i="2" s="1"/>
  <c r="D49" i="2" s="1"/>
  <c r="F81" i="1"/>
  <c r="C81" i="1"/>
  <c r="B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H48" i="2" s="1"/>
  <c r="D48" i="2" s="1"/>
  <c r="F79" i="1"/>
  <c r="C79" i="1"/>
  <c r="B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H47" i="2" s="1"/>
  <c r="D47" i="2" s="1"/>
  <c r="F77" i="1"/>
  <c r="C77" i="1"/>
  <c r="B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H46" i="2" s="1"/>
  <c r="D46" i="2" s="1"/>
  <c r="F75" i="1"/>
  <c r="C75" i="1"/>
  <c r="B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H45" i="2" s="1"/>
  <c r="D45" i="2" s="1"/>
  <c r="F73" i="1"/>
  <c r="C73" i="1"/>
  <c r="B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H44" i="2" s="1"/>
  <c r="D44" i="2" s="1"/>
  <c r="F71" i="1"/>
  <c r="C71" i="1"/>
  <c r="B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H43" i="2" s="1"/>
  <c r="D43" i="2" s="1"/>
  <c r="F69" i="1"/>
  <c r="C69" i="1"/>
  <c r="B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H42" i="2" s="1"/>
  <c r="D42" i="2" s="1"/>
  <c r="F67" i="1"/>
  <c r="C67" i="1"/>
  <c r="B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H41" i="2" s="1"/>
  <c r="D41" i="2" s="1"/>
  <c r="F65" i="1"/>
  <c r="C65" i="1"/>
  <c r="B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H40" i="2" s="1"/>
  <c r="D40" i="2" s="1"/>
  <c r="F63" i="1"/>
  <c r="C63" i="1"/>
  <c r="B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H39" i="2" s="1"/>
  <c r="D39" i="2" s="1"/>
  <c r="F61" i="1"/>
  <c r="C61" i="1"/>
  <c r="B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H64" i="2" s="1"/>
  <c r="D64" i="2" s="1"/>
  <c r="F59" i="1"/>
  <c r="C59" i="1"/>
  <c r="B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H63" i="2" s="1"/>
  <c r="D63" i="2" s="1"/>
  <c r="F57" i="1"/>
  <c r="C57" i="1"/>
  <c r="B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H61" i="2" s="1"/>
  <c r="D61" i="2" s="1"/>
  <c r="F55" i="1"/>
  <c r="C55" i="1"/>
  <c r="B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H62" i="2" s="1"/>
  <c r="D62" i="2" s="1"/>
  <c r="F53" i="1"/>
  <c r="C53" i="1"/>
  <c r="B53" i="1"/>
  <c r="P52" i="1"/>
  <c r="P614" i="1" s="1"/>
  <c r="E61" i="4" s="1"/>
  <c r="D61" i="4" s="1"/>
  <c r="O52" i="1"/>
  <c r="O614" i="1" s="1"/>
  <c r="E60" i="4" s="1"/>
  <c r="D60" i="4" s="1"/>
  <c r="N52" i="1"/>
  <c r="N614" i="1" s="1"/>
  <c r="E59" i="4" s="1"/>
  <c r="D59" i="4" s="1"/>
  <c r="M52" i="1"/>
  <c r="M614" i="1" s="1"/>
  <c r="E58" i="4" s="1"/>
  <c r="D58" i="4" s="1"/>
  <c r="L52" i="1"/>
  <c r="L614" i="1" s="1"/>
  <c r="E57" i="4" s="1"/>
  <c r="D57" i="4" s="1"/>
  <c r="K52" i="1"/>
  <c r="K614" i="1" s="1"/>
  <c r="J52" i="1"/>
  <c r="J614" i="1" s="1"/>
  <c r="I52" i="1"/>
  <c r="H52" i="1"/>
  <c r="G52" i="1"/>
  <c r="F52" i="1"/>
  <c r="E52" i="1"/>
  <c r="D52" i="1"/>
  <c r="C52" i="1"/>
  <c r="B52" i="1"/>
  <c r="H37" i="2" s="1"/>
  <c r="F51" i="1"/>
  <c r="C51" i="1"/>
  <c r="B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F49" i="1"/>
  <c r="C49" i="1"/>
  <c r="B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F47" i="1"/>
  <c r="C47" i="1"/>
  <c r="B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F45" i="1"/>
  <c r="C45" i="1"/>
  <c r="B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F43" i="1"/>
  <c r="C43" i="1"/>
  <c r="B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F41" i="1"/>
  <c r="C41" i="1"/>
  <c r="B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F39" i="1"/>
  <c r="C39" i="1"/>
  <c r="B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F37" i="1"/>
  <c r="C37" i="1"/>
  <c r="B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F35" i="1"/>
  <c r="C35" i="1"/>
  <c r="B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F33" i="1"/>
  <c r="C33" i="1"/>
  <c r="B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F31" i="1"/>
  <c r="C31" i="1"/>
  <c r="B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F29" i="1"/>
  <c r="C29" i="1"/>
  <c r="B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F27" i="1"/>
  <c r="C27" i="1"/>
  <c r="B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F25" i="1"/>
  <c r="C25" i="1"/>
  <c r="B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F23" i="1"/>
  <c r="C23" i="1"/>
  <c r="B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F21" i="1"/>
  <c r="C21" i="1"/>
  <c r="B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F19" i="1"/>
  <c r="C19" i="1"/>
  <c r="B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 s="1"/>
  <c r="G427" i="3"/>
  <c r="G426" i="3"/>
  <c r="G425" i="3"/>
  <c r="G424" i="3"/>
  <c r="G423" i="3"/>
  <c r="F422" i="3"/>
  <c r="G422" i="3" s="1"/>
  <c r="G421" i="3"/>
  <c r="D420" i="3"/>
  <c r="G420" i="3" s="1"/>
  <c r="F419" i="3"/>
  <c r="D419" i="3"/>
  <c r="G419" i="3" s="1"/>
  <c r="E42" i="4" s="1"/>
  <c r="D42" i="4" s="1"/>
  <c r="G418" i="3"/>
  <c r="G417" i="3"/>
  <c r="G416" i="3"/>
  <c r="G415" i="3"/>
  <c r="G414" i="3"/>
  <c r="G413" i="3"/>
  <c r="G412" i="3"/>
  <c r="G411" i="3"/>
  <c r="G410" i="3"/>
  <c r="G409" i="3"/>
  <c r="G408" i="3"/>
  <c r="G407" i="3"/>
  <c r="G406" i="3"/>
  <c r="G405" i="3"/>
  <c r="G404" i="3"/>
  <c r="G403" i="3"/>
  <c r="G402" i="3"/>
  <c r="E401" i="3"/>
  <c r="D401" i="3"/>
  <c r="G401" i="3" s="1"/>
  <c r="G400" i="3"/>
  <c r="G399" i="3"/>
  <c r="G398" i="3"/>
  <c r="G397" i="3"/>
  <c r="G396" i="3"/>
  <c r="G395" i="3"/>
  <c r="G394" i="3"/>
  <c r="G393" i="3"/>
  <c r="G392" i="3"/>
  <c r="G391" i="3"/>
  <c r="G390" i="3"/>
  <c r="G389" i="3"/>
  <c r="G388" i="3"/>
  <c r="G387" i="3"/>
  <c r="G386" i="3"/>
  <c r="G385" i="3"/>
  <c r="G384" i="3"/>
  <c r="G383" i="3"/>
  <c r="G382" i="3"/>
  <c r="G381" i="3"/>
  <c r="G380" i="3"/>
  <c r="G379" i="3"/>
  <c r="G378" i="3"/>
  <c r="G377" i="3"/>
  <c r="E376" i="3"/>
  <c r="D376" i="3"/>
  <c r="G376" i="3" s="1"/>
  <c r="G375" i="3"/>
  <c r="G374" i="3"/>
  <c r="G373" i="3"/>
  <c r="G372" i="3"/>
  <c r="G371" i="3"/>
  <c r="G370" i="3"/>
  <c r="G369" i="3"/>
  <c r="G368" i="3"/>
  <c r="G367" i="3"/>
  <c r="G366" i="3"/>
  <c r="G365" i="3"/>
  <c r="G364" i="3"/>
  <c r="E363" i="3"/>
  <c r="D363" i="3"/>
  <c r="G363" i="3" s="1"/>
  <c r="E362" i="3"/>
  <c r="D362" i="3"/>
  <c r="G362" i="3" s="1"/>
  <c r="G361" i="3"/>
  <c r="G360" i="3"/>
  <c r="G359" i="3"/>
  <c r="F359" i="3"/>
  <c r="G358" i="3"/>
  <c r="G357" i="3"/>
  <c r="G356" i="3"/>
  <c r="G355" i="3"/>
  <c r="G354" i="3"/>
  <c r="E353" i="3"/>
  <c r="D353" i="3"/>
  <c r="G353" i="3" s="1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E279" i="3"/>
  <c r="D279" i="3"/>
  <c r="G279" i="3" s="1"/>
  <c r="E278" i="3"/>
  <c r="D278" i="3"/>
  <c r="G278" i="3" s="1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D256" i="3"/>
  <c r="G256" i="3" s="1"/>
  <c r="G255" i="3"/>
  <c r="G254" i="3"/>
  <c r="G253" i="3"/>
  <c r="G252" i="3"/>
  <c r="G251" i="3"/>
  <c r="G250" i="3"/>
  <c r="G249" i="3"/>
  <c r="G248" i="3"/>
  <c r="D247" i="3"/>
  <c r="G247" i="3" s="1"/>
  <c r="G246" i="3"/>
  <c r="G245" i="3"/>
  <c r="G244" i="3"/>
  <c r="G243" i="3"/>
  <c r="G242" i="3"/>
  <c r="G241" i="3"/>
  <c r="D240" i="3"/>
  <c r="G240" i="3" s="1"/>
  <c r="F239" i="3"/>
  <c r="E239" i="3"/>
  <c r="D239" i="3"/>
  <c r="G239" i="3" s="1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D216" i="3"/>
  <c r="G216" i="3" s="1"/>
  <c r="G215" i="3"/>
  <c r="G214" i="3"/>
  <c r="G213" i="3"/>
  <c r="G212" i="3"/>
  <c r="G211" i="3"/>
  <c r="D210" i="3"/>
  <c r="G210" i="3" s="1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D171" i="3"/>
  <c r="G171" i="3" s="1"/>
  <c r="G170" i="3"/>
  <c r="G169" i="3"/>
  <c r="G168" i="3"/>
  <c r="G167" i="3"/>
  <c r="G166" i="3"/>
  <c r="D165" i="3"/>
  <c r="G165" i="3" s="1"/>
  <c r="D164" i="3"/>
  <c r="G164" i="3" s="1"/>
  <c r="G163" i="3"/>
  <c r="D162" i="3"/>
  <c r="G162" i="3" s="1"/>
  <c r="D161" i="3"/>
  <c r="G161" i="3" s="1"/>
  <c r="G160" i="3"/>
  <c r="G159" i="3"/>
  <c r="G158" i="3"/>
  <c r="G157" i="3"/>
  <c r="G156" i="3"/>
  <c r="G155" i="3"/>
  <c r="G154" i="3"/>
  <c r="G153" i="3"/>
  <c r="G152" i="3"/>
  <c r="G151" i="3"/>
  <c r="G150" i="3"/>
  <c r="D149" i="3"/>
  <c r="G149" i="3" s="1"/>
  <c r="G148" i="3"/>
  <c r="G147" i="3"/>
  <c r="G146" i="3"/>
  <c r="D145" i="3"/>
  <c r="G145" i="3" s="1"/>
  <c r="D144" i="3"/>
  <c r="G144" i="3" s="1"/>
  <c r="F143" i="3"/>
  <c r="D143" i="3"/>
  <c r="G143" i="3" s="1"/>
  <c r="E41" i="4" s="1"/>
  <c r="F142" i="3"/>
  <c r="E142" i="3"/>
  <c r="D142" i="3"/>
  <c r="G142" i="3" s="1"/>
  <c r="G141" i="3"/>
  <c r="D140" i="3"/>
  <c r="G140" i="3" s="1"/>
  <c r="E39" i="4" s="1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F120" i="3"/>
  <c r="E120" i="3"/>
  <c r="G120" i="3" s="1"/>
  <c r="D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E93" i="3"/>
  <c r="G93" i="3" s="1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F76" i="3"/>
  <c r="E76" i="3"/>
  <c r="G76" i="3" s="1"/>
  <c r="F75" i="3"/>
  <c r="E75" i="3"/>
  <c r="G75" i="3" s="1"/>
  <c r="E37" i="4" s="1"/>
  <c r="G74" i="3"/>
  <c r="G73" i="3"/>
  <c r="E72" i="3"/>
  <c r="G72" i="3" s="1"/>
  <c r="E35" i="4" s="1"/>
  <c r="G71" i="3"/>
  <c r="F70" i="3"/>
  <c r="C70" i="3"/>
  <c r="G70" i="3" s="1"/>
  <c r="G69" i="3"/>
  <c r="F68" i="3"/>
  <c r="E68" i="3"/>
  <c r="C68" i="3"/>
  <c r="G67" i="3"/>
  <c r="G66" i="3"/>
  <c r="G65" i="3"/>
  <c r="G64" i="3"/>
  <c r="G63" i="3"/>
  <c r="G62" i="3"/>
  <c r="G61" i="3"/>
  <c r="F61" i="3"/>
  <c r="C61" i="3"/>
  <c r="F60" i="3"/>
  <c r="C60" i="3"/>
  <c r="G60" i="3" s="1"/>
  <c r="F59" i="3"/>
  <c r="C59" i="3"/>
  <c r="G59" i="3" s="1"/>
  <c r="E30" i="4" s="1"/>
  <c r="G58" i="3"/>
  <c r="G57" i="3"/>
  <c r="C56" i="3"/>
  <c r="G56" i="3" s="1"/>
  <c r="F55" i="3"/>
  <c r="E55" i="3"/>
  <c r="D55" i="3"/>
  <c r="C55" i="3"/>
  <c r="G55" i="3" s="1"/>
  <c r="E28" i="4" s="1"/>
  <c r="G54" i="3"/>
  <c r="G53" i="3"/>
  <c r="G52" i="3"/>
  <c r="G51" i="3"/>
  <c r="G50" i="3"/>
  <c r="C49" i="3"/>
  <c r="G49" i="3" s="1"/>
  <c r="E26" i="4" s="1"/>
  <c r="D26" i="4" s="1"/>
  <c r="G48" i="3"/>
  <c r="C47" i="3"/>
  <c r="G47" i="3" s="1"/>
  <c r="G46" i="3"/>
  <c r="G45" i="3"/>
  <c r="G44" i="3"/>
  <c r="G43" i="3"/>
  <c r="C42" i="3"/>
  <c r="G42" i="3" s="1"/>
  <c r="E25" i="4" s="1"/>
  <c r="C41" i="3"/>
  <c r="G41" i="3" s="1"/>
  <c r="G40" i="3"/>
  <c r="G39" i="3"/>
  <c r="C39" i="3"/>
  <c r="C38" i="3"/>
  <c r="G38" i="3" s="1"/>
  <c r="G37" i="3"/>
  <c r="G36" i="3"/>
  <c r="C36" i="3"/>
  <c r="G35" i="3"/>
  <c r="G34" i="3"/>
  <c r="C34" i="3"/>
  <c r="C33" i="3"/>
  <c r="G33" i="3" s="1"/>
  <c r="E21" i="4" s="1"/>
  <c r="G32" i="3"/>
  <c r="G31" i="3"/>
  <c r="C30" i="3"/>
  <c r="G30" i="3" s="1"/>
  <c r="G29" i="3"/>
  <c r="G28" i="3"/>
  <c r="G27" i="3"/>
  <c r="C26" i="3"/>
  <c r="G26" i="3" s="1"/>
  <c r="G25" i="3"/>
  <c r="G24" i="3"/>
  <c r="C23" i="3"/>
  <c r="G23" i="3" s="1"/>
  <c r="C22" i="3"/>
  <c r="G22" i="3" s="1"/>
  <c r="E19" i="4" s="1"/>
  <c r="C21" i="3"/>
  <c r="G21" i="3" s="1"/>
  <c r="G20" i="3"/>
  <c r="F19" i="3"/>
  <c r="C19" i="3"/>
  <c r="G19" i="3" s="1"/>
  <c r="F18" i="3"/>
  <c r="C18" i="3"/>
  <c r="F17" i="3"/>
  <c r="C17" i="3"/>
  <c r="G17" i="3" s="1"/>
  <c r="F16" i="3"/>
  <c r="E16" i="3"/>
  <c r="D16" i="3"/>
  <c r="C16" i="3"/>
  <c r="E74" i="4"/>
  <c r="C74" i="4"/>
  <c r="D74" i="4" s="1"/>
  <c r="E73" i="4"/>
  <c r="D73" i="4"/>
  <c r="E72" i="4"/>
  <c r="C72" i="4"/>
  <c r="D72" i="4" s="1"/>
  <c r="E71" i="4"/>
  <c r="E70" i="4"/>
  <c r="C70" i="4"/>
  <c r="D70" i="4" s="1"/>
  <c r="D69" i="4" s="1"/>
  <c r="D65" i="4" s="1"/>
  <c r="D64" i="4" s="1"/>
  <c r="E69" i="4"/>
  <c r="C69" i="4"/>
  <c r="D68" i="4"/>
  <c r="D67" i="4"/>
  <c r="E66" i="4"/>
  <c r="D66" i="4"/>
  <c r="C66" i="4"/>
  <c r="E65" i="4"/>
  <c r="C65" i="4"/>
  <c r="E64" i="4"/>
  <c r="C64" i="4"/>
  <c r="D62" i="4"/>
  <c r="C54" i="4"/>
  <c r="C44" i="4"/>
  <c r="C43" i="4"/>
  <c r="C40" i="4"/>
  <c r="C38" i="4"/>
  <c r="C36" i="4"/>
  <c r="C34" i="4"/>
  <c r="E32" i="4"/>
  <c r="D32" i="4"/>
  <c r="C31" i="4"/>
  <c r="C29" i="4"/>
  <c r="C27" i="4"/>
  <c r="C24" i="4"/>
  <c r="E23" i="4"/>
  <c r="D23" i="4"/>
  <c r="E22" i="4"/>
  <c r="C22" i="4"/>
  <c r="D22" i="4" s="1"/>
  <c r="C20" i="4"/>
  <c r="C18" i="4"/>
  <c r="C16" i="4"/>
  <c r="C15" i="4"/>
  <c r="C63" i="4" s="1"/>
  <c r="G318" i="2"/>
  <c r="F318" i="2"/>
  <c r="E318" i="2"/>
  <c r="C318" i="2"/>
  <c r="G316" i="2"/>
  <c r="F316" i="2"/>
  <c r="E316" i="2"/>
  <c r="C316" i="2"/>
  <c r="H276" i="2"/>
  <c r="D276" i="2"/>
  <c r="G275" i="2"/>
  <c r="F275" i="2"/>
  <c r="E275" i="2"/>
  <c r="C275" i="2"/>
  <c r="H273" i="2"/>
  <c r="D273" i="2"/>
  <c r="G272" i="2"/>
  <c r="F272" i="2"/>
  <c r="E272" i="2"/>
  <c r="C272" i="2"/>
  <c r="H271" i="2"/>
  <c r="F271" i="2"/>
  <c r="D271" i="2"/>
  <c r="H270" i="2"/>
  <c r="D270" i="2"/>
  <c r="H269" i="2"/>
  <c r="F269" i="2"/>
  <c r="D269" i="2"/>
  <c r="H268" i="2"/>
  <c r="F268" i="2"/>
  <c r="D268" i="2"/>
  <c r="H267" i="2"/>
  <c r="F267" i="2"/>
  <c r="D267" i="2"/>
  <c r="H266" i="2"/>
  <c r="G266" i="2"/>
  <c r="F266" i="2"/>
  <c r="E266" i="2"/>
  <c r="D266" i="2"/>
  <c r="C266" i="2"/>
  <c r="H265" i="2"/>
  <c r="F265" i="2"/>
  <c r="D265" i="2"/>
  <c r="H264" i="2"/>
  <c r="F264" i="2"/>
  <c r="D264" i="2"/>
  <c r="H263" i="2"/>
  <c r="F263" i="2"/>
  <c r="E263" i="2"/>
  <c r="D263" i="2"/>
  <c r="H262" i="2"/>
  <c r="F262" i="2"/>
  <c r="D262" i="2"/>
  <c r="H261" i="2"/>
  <c r="F261" i="2"/>
  <c r="D261" i="2"/>
  <c r="H260" i="2"/>
  <c r="F260" i="2"/>
  <c r="E260" i="2"/>
  <c r="D260" i="2"/>
  <c r="H259" i="2"/>
  <c r="G259" i="2"/>
  <c r="F259" i="2"/>
  <c r="E259" i="2"/>
  <c r="D259" i="2"/>
  <c r="C259" i="2"/>
  <c r="H258" i="2"/>
  <c r="D258" i="2"/>
  <c r="H257" i="2"/>
  <c r="F257" i="2"/>
  <c r="D257" i="2"/>
  <c r="H256" i="2"/>
  <c r="F256" i="2"/>
  <c r="D256" i="2"/>
  <c r="H255" i="2"/>
  <c r="F255" i="2"/>
  <c r="D255" i="2"/>
  <c r="H254" i="2"/>
  <c r="F254" i="2"/>
  <c r="D254" i="2"/>
  <c r="H253" i="2"/>
  <c r="F253" i="2"/>
  <c r="E253" i="2"/>
  <c r="D253" i="2"/>
  <c r="H252" i="2"/>
  <c r="G252" i="2"/>
  <c r="F252" i="2"/>
  <c r="E252" i="2"/>
  <c r="D252" i="2"/>
  <c r="C252" i="2"/>
  <c r="H250" i="2"/>
  <c r="D250" i="2"/>
  <c r="H249" i="2"/>
  <c r="F249" i="2"/>
  <c r="D249" i="2"/>
  <c r="H248" i="2"/>
  <c r="F248" i="2"/>
  <c r="E248" i="2"/>
  <c r="D248" i="2"/>
  <c r="H247" i="2"/>
  <c r="F247" i="2"/>
  <c r="D247" i="2"/>
  <c r="H246" i="2"/>
  <c r="F246" i="2"/>
  <c r="D246" i="2"/>
  <c r="H245" i="2"/>
  <c r="F245" i="2"/>
  <c r="D245" i="2"/>
  <c r="H244" i="2"/>
  <c r="G244" i="2"/>
  <c r="F244" i="2"/>
  <c r="E244" i="2"/>
  <c r="D244" i="2"/>
  <c r="C244" i="2"/>
  <c r="G243" i="2"/>
  <c r="F243" i="2"/>
  <c r="E243" i="2"/>
  <c r="C243" i="2"/>
  <c r="H227" i="2"/>
  <c r="D227" i="2"/>
  <c r="H226" i="2"/>
  <c r="D226" i="2"/>
  <c r="H225" i="2"/>
  <c r="D225" i="2"/>
  <c r="G224" i="2"/>
  <c r="F224" i="2"/>
  <c r="E224" i="2"/>
  <c r="H223" i="2"/>
  <c r="D223" i="2"/>
  <c r="H222" i="2"/>
  <c r="D222" i="2"/>
  <c r="H221" i="2"/>
  <c r="D221" i="2"/>
  <c r="H220" i="2"/>
  <c r="D220" i="2"/>
  <c r="H219" i="2"/>
  <c r="D219" i="2"/>
  <c r="H218" i="2"/>
  <c r="D218" i="2"/>
  <c r="H217" i="2"/>
  <c r="D217" i="2"/>
  <c r="H216" i="2"/>
  <c r="D216" i="2"/>
  <c r="H215" i="2"/>
  <c r="D215" i="2"/>
  <c r="H214" i="2"/>
  <c r="D214" i="2"/>
  <c r="H213" i="2"/>
  <c r="D213" i="2"/>
  <c r="H212" i="2"/>
  <c r="D212" i="2"/>
  <c r="H211" i="2"/>
  <c r="D211" i="2"/>
  <c r="H210" i="2"/>
  <c r="D210" i="2"/>
  <c r="H209" i="2"/>
  <c r="D209" i="2"/>
  <c r="H208" i="2"/>
  <c r="D208" i="2"/>
  <c r="H207" i="2"/>
  <c r="D207" i="2"/>
  <c r="H206" i="2"/>
  <c r="D206" i="2"/>
  <c r="H205" i="2"/>
  <c r="D205" i="2"/>
  <c r="H204" i="2"/>
  <c r="D204" i="2"/>
  <c r="H203" i="2"/>
  <c r="G203" i="2"/>
  <c r="F203" i="2"/>
  <c r="E203" i="2"/>
  <c r="D203" i="2"/>
  <c r="C203" i="2"/>
  <c r="H202" i="2"/>
  <c r="D202" i="2"/>
  <c r="H201" i="2"/>
  <c r="D201" i="2"/>
  <c r="H200" i="2"/>
  <c r="D200" i="2"/>
  <c r="H199" i="2"/>
  <c r="G199" i="2"/>
  <c r="F199" i="2"/>
  <c r="E199" i="2"/>
  <c r="D199" i="2"/>
  <c r="C199" i="2"/>
  <c r="H198" i="2"/>
  <c r="D198" i="2"/>
  <c r="H197" i="2"/>
  <c r="D197" i="2"/>
  <c r="H196" i="2"/>
  <c r="G196" i="2"/>
  <c r="F196" i="2"/>
  <c r="E196" i="2"/>
  <c r="D196" i="2"/>
  <c r="C196" i="2"/>
  <c r="H194" i="2"/>
  <c r="D194" i="2"/>
  <c r="H193" i="2"/>
  <c r="D193" i="2"/>
  <c r="H192" i="2"/>
  <c r="D192" i="2"/>
  <c r="H191" i="2"/>
  <c r="G191" i="2"/>
  <c r="F191" i="2"/>
  <c r="E191" i="2"/>
  <c r="D191" i="2"/>
  <c r="C191" i="2"/>
  <c r="G190" i="2"/>
  <c r="F190" i="2"/>
  <c r="E190" i="2"/>
  <c r="H189" i="2"/>
  <c r="D189" i="2"/>
  <c r="H188" i="2"/>
  <c r="D188" i="2"/>
  <c r="H187" i="2"/>
  <c r="D187" i="2"/>
  <c r="H186" i="2"/>
  <c r="D186" i="2"/>
  <c r="H185" i="2"/>
  <c r="D185" i="2"/>
  <c r="H184" i="2"/>
  <c r="D184" i="2"/>
  <c r="H183" i="2"/>
  <c r="D183" i="2"/>
  <c r="H182" i="2"/>
  <c r="D182" i="2"/>
  <c r="H181" i="2"/>
  <c r="D181" i="2"/>
  <c r="H180" i="2"/>
  <c r="D180" i="2"/>
  <c r="H179" i="2"/>
  <c r="E50" i="4" s="1"/>
  <c r="D50" i="4" s="1"/>
  <c r="G179" i="2"/>
  <c r="F179" i="2"/>
  <c r="E179" i="2"/>
  <c r="D179" i="2"/>
  <c r="C179" i="2"/>
  <c r="H170" i="2"/>
  <c r="D170" i="2"/>
  <c r="H169" i="2"/>
  <c r="D169" i="2"/>
  <c r="H168" i="2"/>
  <c r="D168" i="2"/>
  <c r="H167" i="2"/>
  <c r="D167" i="2"/>
  <c r="H166" i="2"/>
  <c r="D166" i="2"/>
  <c r="H165" i="2"/>
  <c r="D165" i="2"/>
  <c r="H164" i="2"/>
  <c r="D164" i="2"/>
  <c r="H163" i="2"/>
  <c r="D163" i="2"/>
  <c r="H162" i="2"/>
  <c r="D162" i="2"/>
  <c r="H161" i="2"/>
  <c r="D161" i="2"/>
  <c r="H160" i="2"/>
  <c r="D160" i="2"/>
  <c r="H159" i="2"/>
  <c r="D159" i="2"/>
  <c r="H158" i="2"/>
  <c r="D158" i="2"/>
  <c r="H157" i="2"/>
  <c r="D157" i="2"/>
  <c r="H156" i="2"/>
  <c r="D156" i="2"/>
  <c r="H155" i="2"/>
  <c r="D155" i="2"/>
  <c r="H154" i="2"/>
  <c r="D154" i="2"/>
  <c r="H153" i="2"/>
  <c r="D153" i="2"/>
  <c r="H152" i="2"/>
  <c r="D152" i="2"/>
  <c r="H151" i="2"/>
  <c r="D151" i="2"/>
  <c r="H150" i="2"/>
  <c r="D150" i="2"/>
  <c r="H149" i="2"/>
  <c r="D149" i="2"/>
  <c r="H148" i="2"/>
  <c r="D148" i="2"/>
  <c r="H147" i="2"/>
  <c r="D147" i="2"/>
  <c r="H146" i="2"/>
  <c r="D146" i="2"/>
  <c r="H144" i="2"/>
  <c r="D144" i="2"/>
  <c r="H143" i="2"/>
  <c r="D143" i="2"/>
  <c r="H142" i="2"/>
  <c r="D142" i="2"/>
  <c r="H141" i="2"/>
  <c r="D141" i="2"/>
  <c r="H140" i="2"/>
  <c r="D140" i="2"/>
  <c r="H139" i="2"/>
  <c r="D139" i="2"/>
  <c r="H138" i="2"/>
  <c r="D138" i="2"/>
  <c r="H137" i="2"/>
  <c r="D137" i="2"/>
  <c r="H136" i="2"/>
  <c r="D136" i="2"/>
  <c r="H135" i="2"/>
  <c r="D135" i="2"/>
  <c r="H134" i="2"/>
  <c r="D134" i="2"/>
  <c r="H133" i="2"/>
  <c r="D133" i="2"/>
  <c r="H132" i="2"/>
  <c r="D132" i="2"/>
  <c r="H131" i="2"/>
  <c r="D131" i="2"/>
  <c r="H130" i="2"/>
  <c r="D130" i="2"/>
  <c r="E117" i="2"/>
  <c r="E112" i="2"/>
  <c r="E106" i="2"/>
  <c r="H105" i="2"/>
  <c r="D105" i="2"/>
  <c r="G102" i="2"/>
  <c r="F102" i="2"/>
  <c r="E102" i="2"/>
  <c r="C102" i="2"/>
  <c r="G99" i="2"/>
  <c r="F99" i="2"/>
  <c r="E99" i="2"/>
  <c r="C99" i="2"/>
  <c r="G98" i="2"/>
  <c r="F98" i="2"/>
  <c r="E98" i="2"/>
  <c r="C98" i="2"/>
  <c r="G72" i="2"/>
  <c r="F72" i="2"/>
  <c r="E72" i="2"/>
  <c r="C72" i="2"/>
  <c r="G36" i="2"/>
  <c r="F36" i="2"/>
  <c r="E36" i="2"/>
  <c r="C36" i="2"/>
  <c r="H35" i="2"/>
  <c r="D35" i="2"/>
  <c r="H34" i="2"/>
  <c r="D34" i="2"/>
  <c r="H33" i="2"/>
  <c r="D33" i="2"/>
  <c r="H32" i="2"/>
  <c r="E46" i="4" s="1"/>
  <c r="D46" i="4" s="1"/>
  <c r="G32" i="2"/>
  <c r="F32" i="2"/>
  <c r="E32" i="2"/>
  <c r="D32" i="2"/>
  <c r="C32" i="2"/>
  <c r="H31" i="2"/>
  <c r="D31" i="2"/>
  <c r="H30" i="2"/>
  <c r="D30" i="2"/>
  <c r="H29" i="2"/>
  <c r="D29" i="2"/>
  <c r="H28" i="2"/>
  <c r="D28" i="2"/>
  <c r="H27" i="2"/>
  <c r="D27" i="2"/>
  <c r="H26" i="2"/>
  <c r="D26" i="2"/>
  <c r="H25" i="2"/>
  <c r="D25" i="2"/>
  <c r="H24" i="2"/>
  <c r="D24" i="2"/>
  <c r="H23" i="2"/>
  <c r="D23" i="2"/>
  <c r="H22" i="2"/>
  <c r="D22" i="2"/>
  <c r="H21" i="2"/>
  <c r="D21" i="2"/>
  <c r="H20" i="2"/>
  <c r="D20" i="2"/>
  <c r="H19" i="2"/>
  <c r="D19" i="2"/>
  <c r="G17" i="2"/>
  <c r="F17" i="2"/>
  <c r="E17" i="2"/>
  <c r="C17" i="2"/>
  <c r="G16" i="2"/>
  <c r="F16" i="2"/>
  <c r="E16" i="2"/>
  <c r="C16" i="2"/>
  <c r="H272" i="2" l="1"/>
  <c r="D274" i="2"/>
  <c r="D272" i="2" s="1"/>
  <c r="H224" i="2"/>
  <c r="H190" i="2" s="1"/>
  <c r="E51" i="4" s="1"/>
  <c r="D51" i="4" s="1"/>
  <c r="D228" i="2"/>
  <c r="D224" i="2" s="1"/>
  <c r="D190" i="2" s="1"/>
  <c r="H318" i="2"/>
  <c r="D318" i="2" s="1"/>
  <c r="D319" i="2"/>
  <c r="H316" i="2"/>
  <c r="D317" i="2"/>
  <c r="I614" i="1"/>
  <c r="I613" i="1"/>
  <c r="H614" i="1"/>
  <c r="H613" i="1"/>
  <c r="G614" i="1"/>
  <c r="G613" i="1"/>
  <c r="F613" i="1" s="1"/>
  <c r="E613" i="1"/>
  <c r="E614" i="1"/>
  <c r="D613" i="1"/>
  <c r="C613" i="1" s="1"/>
  <c r="D614" i="1"/>
  <c r="C428" i="1"/>
  <c r="P613" i="1"/>
  <c r="B426" i="1"/>
  <c r="H102" i="2"/>
  <c r="D103" i="2"/>
  <c r="D102" i="2" s="1"/>
  <c r="H99" i="2"/>
  <c r="H98" i="2" s="1"/>
  <c r="E49" i="4" s="1"/>
  <c r="D49" i="4" s="1"/>
  <c r="D100" i="2"/>
  <c r="D99" i="2" s="1"/>
  <c r="D98" i="2" s="1"/>
  <c r="H72" i="2"/>
  <c r="E48" i="4" s="1"/>
  <c r="D48" i="4" s="1"/>
  <c r="D73" i="2"/>
  <c r="D72" i="2" s="1"/>
  <c r="H36" i="2"/>
  <c r="E47" i="4" s="1"/>
  <c r="D47" i="4" s="1"/>
  <c r="D37" i="2"/>
  <c r="D36" i="2" s="1"/>
  <c r="H18" i="2"/>
  <c r="E40" i="4"/>
  <c r="D40" i="4" s="1"/>
  <c r="D41" i="4"/>
  <c r="E38" i="4"/>
  <c r="D38" i="4" s="1"/>
  <c r="D39" i="4"/>
  <c r="E36" i="4"/>
  <c r="D36" i="4" s="1"/>
  <c r="D37" i="4"/>
  <c r="E34" i="4"/>
  <c r="D34" i="4" s="1"/>
  <c r="D35" i="4"/>
  <c r="E33" i="4"/>
  <c r="G68" i="3"/>
  <c r="E29" i="4"/>
  <c r="D29" i="4" s="1"/>
  <c r="D30" i="4"/>
  <c r="E27" i="4"/>
  <c r="D27" i="4" s="1"/>
  <c r="D28" i="4"/>
  <c r="E24" i="4"/>
  <c r="D24" i="4" s="1"/>
  <c r="D25" i="4"/>
  <c r="E20" i="4"/>
  <c r="D20" i="4" s="1"/>
  <c r="D21" i="4"/>
  <c r="E18" i="4"/>
  <c r="D18" i="4" s="1"/>
  <c r="D19" i="4"/>
  <c r="E17" i="4"/>
  <c r="G18" i="3"/>
  <c r="G16" i="3" s="1"/>
  <c r="E53" i="4" l="1"/>
  <c r="D53" i="4" s="1"/>
  <c r="D316" i="2"/>
  <c r="C614" i="1"/>
  <c r="E55" i="4" s="1"/>
  <c r="B428" i="1"/>
  <c r="H278" i="2" s="1"/>
  <c r="D278" i="2" s="1"/>
  <c r="H17" i="2"/>
  <c r="D18" i="2"/>
  <c r="D17" i="2" s="1"/>
  <c r="E31" i="4"/>
  <c r="D31" i="4" s="1"/>
  <c r="D33" i="4"/>
  <c r="E16" i="4"/>
  <c r="D17" i="4"/>
  <c r="B613" i="1"/>
  <c r="H277" i="2"/>
  <c r="B614" i="1"/>
  <c r="D55" i="4" l="1"/>
  <c r="E54" i="4"/>
  <c r="D54" i="4" s="1"/>
  <c r="E45" i="4"/>
  <c r="E15" i="4"/>
  <c r="D16" i="4"/>
  <c r="D277" i="2"/>
  <c r="D275" i="2" s="1"/>
  <c r="D243" i="2" s="1"/>
  <c r="D16" i="2" s="1"/>
  <c r="H275" i="2"/>
  <c r="H243" i="2" s="1"/>
  <c r="E44" i="4" l="1"/>
  <c r="D45" i="4"/>
  <c r="D15" i="4"/>
  <c r="E52" i="4"/>
  <c r="D52" i="4" s="1"/>
  <c r="H16" i="2"/>
  <c r="E43" i="4" l="1"/>
  <c r="D44" i="4"/>
  <c r="E63" i="4" l="1"/>
  <c r="D63" i="4" s="1"/>
  <c r="D43" i="4"/>
</calcChain>
</file>

<file path=xl/sharedStrings.xml><?xml version="1.0" encoding="utf-8"?>
<sst xmlns="http://schemas.openxmlformats.org/spreadsheetml/2006/main" count="1615" uniqueCount="827">
  <si>
    <t>Balvu novada administrācija</t>
  </si>
  <si>
    <t>Deputātu darba samaksa</t>
  </si>
  <si>
    <t>Izdevumi neparedzētiem gadījumiem</t>
  </si>
  <si>
    <t>Biedru maksa</t>
  </si>
  <si>
    <t>Dzimtsarakstu nodaļa</t>
  </si>
  <si>
    <t>Pašvaldības policija</t>
  </si>
  <si>
    <t>Būvvalde</t>
  </si>
  <si>
    <t>Pārējā ekonomiskā darbība (PVN)</t>
  </si>
  <si>
    <t>Ielu apgaismojums Balvu pilsētā</t>
  </si>
  <si>
    <t>Balvu pagasta komunālā saimniecība</t>
  </si>
  <si>
    <t>Bērzpils pagasta komunālā saimniecība</t>
  </si>
  <si>
    <t>Briežuciema pagasta komunālā saimniecība</t>
  </si>
  <si>
    <t>Krišjāņu pagasta komunālā saimniecība</t>
  </si>
  <si>
    <t>Kubulu pagasta komunālā saimniecība</t>
  </si>
  <si>
    <t>Lazdulejas pagasta komunālā saimniecība</t>
  </si>
  <si>
    <t>Tilžas pagasta komunālā saimniecība</t>
  </si>
  <si>
    <t>Vectilžas pagasta komunālā saimniecība</t>
  </si>
  <si>
    <t>Vīksnas pagasta komunālā saimniecība</t>
  </si>
  <si>
    <t>Briežuciema FVP</t>
  </si>
  <si>
    <t>Balvu Centrālā bibliotēka</t>
  </si>
  <si>
    <t>KAC pasākumi</t>
  </si>
  <si>
    <t>Briežuciema Tautas nams</t>
  </si>
  <si>
    <t>Krišjāņu Tautas nams</t>
  </si>
  <si>
    <t>Kubulu kultūras nams</t>
  </si>
  <si>
    <t>Vīksnas Tautas nams</t>
  </si>
  <si>
    <t>Pārējie pasākumi, sabiedriskās attiecības</t>
  </si>
  <si>
    <t>PII Pīlādzītis</t>
  </si>
  <si>
    <t>PII Sienāzītis</t>
  </si>
  <si>
    <t>Bērzkalnes PII</t>
  </si>
  <si>
    <t>Stacijas pamatskola</t>
  </si>
  <si>
    <t>Balvu Valsts ģimnāzija</t>
  </si>
  <si>
    <t>Balvu mūzikas skola</t>
  </si>
  <si>
    <t>Balvu mākslas skola</t>
  </si>
  <si>
    <t>Balvu sporta skola</t>
  </si>
  <si>
    <t>Transporta izdevumu kompensācija skolēniem</t>
  </si>
  <si>
    <t>Pansionāts "Balvi"</t>
  </si>
  <si>
    <t>Bāriņtiesa</t>
  </si>
  <si>
    <t>Sociālo māju uzturēšana</t>
  </si>
  <si>
    <t>KOPĀ</t>
  </si>
  <si>
    <t>Balvu sporta skolas Peldbaseins</t>
  </si>
  <si>
    <t>Balvu Profesionālā un vispārizglītojošā vidusskola</t>
  </si>
  <si>
    <t>Atskurbtuves uzturēšana</t>
  </si>
  <si>
    <t>Latgales speciālās ekonomiskās zonas atbalsts</t>
  </si>
  <si>
    <t>Sociālie pakalpojumi</t>
  </si>
  <si>
    <t>Programma "Latvijas skolas soma"</t>
  </si>
  <si>
    <t>Balvu pilsētas autoceļu (ielu) uzturēšana</t>
  </si>
  <si>
    <t>Balvu pagasta autoceļu (ielu) uzturēšana</t>
  </si>
  <si>
    <t>Bērzkalnes pagasta autoceļu (ielu) uzturēšana</t>
  </si>
  <si>
    <t>Bērzpils pagasta autoceļu (ielu) uzturēšana</t>
  </si>
  <si>
    <t>Briežuciema pagasta autoceļu (ielu) uzturēšana</t>
  </si>
  <si>
    <t>Krišjāņu pagasta autoceļu (ielu) uzturēšana</t>
  </si>
  <si>
    <t>Kubulu pagasta autoceļu (ielu) uzturēšana</t>
  </si>
  <si>
    <t>Lazdulejas pagasta autoceļu (ielu) uzturēšana</t>
  </si>
  <si>
    <t>Tilžas pagasta autoceļu (ielu) uzturēšana</t>
  </si>
  <si>
    <t>Vectilžas pagasta autoceļu (ielu) uzturēšana</t>
  </si>
  <si>
    <t>Vīksnas pagasta autoceļu (ielu) uzturēšana</t>
  </si>
  <si>
    <t>Vides piesārņojuma novēršana un samazināšana (dabas resursu nodoklis)</t>
  </si>
  <si>
    <t>Balvu Kultūras un atpūtas centrs</t>
  </si>
  <si>
    <t>Norēķini ar citām pašvaldībām par izglītības pakalpojumiem</t>
  </si>
  <si>
    <t>Balvu Novada muzejs</t>
  </si>
  <si>
    <t>Balvu sākumskola</t>
  </si>
  <si>
    <t>Daudzfunkcionālais sociālo pakalpojumu centrs</t>
  </si>
  <si>
    <t>Preces un pakalpojumi</t>
  </si>
  <si>
    <t>Subsīdijas un dotācijas</t>
  </si>
  <si>
    <t>Pamatkapitāla veidošana</t>
  </si>
  <si>
    <t>Valsts un pašvaldības vienotais klientu apkalpošanas centrs</t>
  </si>
  <si>
    <t>Viļakas pilsētas komunālā saimniecība - apkure</t>
  </si>
  <si>
    <t>Šķilbēnu komunālā saimniecība</t>
  </si>
  <si>
    <t>Upītes FVP</t>
  </si>
  <si>
    <t>Rugāju sociālās aprūpes centrs</t>
  </si>
  <si>
    <t>Viļakas sociālās aprūpes centrs</t>
  </si>
  <si>
    <t>Šķilbēnu sociālās aprūpes māja</t>
  </si>
  <si>
    <t>Lazdukalna saieta nams</t>
  </si>
  <si>
    <t>Viļakas muzejs</t>
  </si>
  <si>
    <t>Algotie pagaidu sabiedriskie darbi</t>
  </si>
  <si>
    <t>Viļakas pilsētas komunālā saimniecība - atkritumu apsaimniekošana</t>
  </si>
  <si>
    <t>Medņevas komunālā saimniecība -notekūdeņu apsaimniekošana</t>
  </si>
  <si>
    <t>Upītes komunālā saimniecība -notekūdeņu apsaimniekošana</t>
  </si>
  <si>
    <t>Rekavas komunālā saimniecība -notekūdeņu apsaimniekošana</t>
  </si>
  <si>
    <t>Kupravas komunālā saimniecība -notekūdeņu apsaimniekošana</t>
  </si>
  <si>
    <t>Vecumu komunālā saimniecība -notekūdeņu apsaimniekošana</t>
  </si>
  <si>
    <t>Žīguru komunālā saimniecība -notekūdeņu apsaimniekošana</t>
  </si>
  <si>
    <t>Lazdukalna pagasta komunālā saimniecība</t>
  </si>
  <si>
    <t>Rugāju pagasta komunālā saimniecība</t>
  </si>
  <si>
    <t>Lazdukalna pagasta ūdensapgāde</t>
  </si>
  <si>
    <t>Rugāju pagasta ūdensapgāde</t>
  </si>
  <si>
    <t>Kupravas feldšeru punkts</t>
  </si>
  <si>
    <t>Baltinavas muzejs</t>
  </si>
  <si>
    <t>Baltinavas kultūras nams</t>
  </si>
  <si>
    <t>Žīguru kultūras nams</t>
  </si>
  <si>
    <t>Viļakas kultūras nams</t>
  </si>
  <si>
    <t>Medņevas Tautas nams</t>
  </si>
  <si>
    <t>Šķilbēnu pagasta kultūras centrs "Rekova"</t>
  </si>
  <si>
    <t>Skolēnu pārvadāšana Šķilbēnu pārvalde</t>
  </si>
  <si>
    <t>Rekavas vidusskola</t>
  </si>
  <si>
    <t>Projekts "Atbalsts izglītojamo individuālo kompetenču attīstībai"</t>
  </si>
  <si>
    <t>Viļakas pirmsskolas izglītības iestāde "Namiņš"</t>
  </si>
  <si>
    <t>Eglaines pamatskola</t>
  </si>
  <si>
    <t>Izglītības pārvalde</t>
  </si>
  <si>
    <t>Baltinavas vidusskola</t>
  </si>
  <si>
    <t>Bērzpils pamatskola</t>
  </si>
  <si>
    <t>Rugāju vidusskola</t>
  </si>
  <si>
    <t>Ziemeļlatgales sporta centrs</t>
  </si>
  <si>
    <t>Izglītības pārvaldes pasākumi</t>
  </si>
  <si>
    <t>Kultūras pārvaldes pasākumi</t>
  </si>
  <si>
    <t>Bijušo pagastu padomju un pilsētu domju vadītāju pabalsti</t>
  </si>
  <si>
    <t>Svētku un atceres dienu pabalsti</t>
  </si>
  <si>
    <t>Pašvaldības aizņēmumu apkalpošana un procentu maksa</t>
  </si>
  <si>
    <t>Tehniskās dokumentācijas izstrāde</t>
  </si>
  <si>
    <t>Sociālā pārvalde</t>
  </si>
  <si>
    <t>Dienas sociālas aprūpes centrs Benislavā</t>
  </si>
  <si>
    <t>Dienas aprūpes centrs un grupu dzīvokļi (māja) Viļakā</t>
  </si>
  <si>
    <t>Zobārstniecības kabinets  (Rugāju pagastā)</t>
  </si>
  <si>
    <t>Novada teritorijas īpašuma vadība</t>
  </si>
  <si>
    <t xml:space="preserve">Biznesa ideju konkurss </t>
  </si>
  <si>
    <t>Rugāju tautas nams</t>
  </si>
  <si>
    <t>Skolēnu pārvadājumi Krišjāņu pagastā</t>
  </si>
  <si>
    <t>Novada teritorijas apsaimniekošana</t>
  </si>
  <si>
    <t>Skolēnu pārvadājumi Lazdulejas pagastā</t>
  </si>
  <si>
    <t>Skolēnu pārvadājumi Bērzkalnes pagastā</t>
  </si>
  <si>
    <t>Skolēnu pārvadājumi Bērzpils pagastā</t>
  </si>
  <si>
    <t>Rubeņu Tautas nams</t>
  </si>
  <si>
    <t>Vecumu pagasta komunālā saimniecība</t>
  </si>
  <si>
    <t>Lazdulejas Saieta nams</t>
  </si>
  <si>
    <t>Bērzpils Saieta nams</t>
  </si>
  <si>
    <t>Skolēnu pārvadājumi Vīksnas pagastā</t>
  </si>
  <si>
    <t>Skolēnu pārvadājumi Rugāju pagastā</t>
  </si>
  <si>
    <t>Baltinavas pagasta ūdensapgāde</t>
  </si>
  <si>
    <t>Balvu pagasta ūdensapgāde</t>
  </si>
  <si>
    <t>Naudaskalna Tautas nams</t>
  </si>
  <si>
    <t>Ziemeļlatgales sporta centra pasākumi</t>
  </si>
  <si>
    <t>Vectilžas Sporta un atpūtas centrs</t>
  </si>
  <si>
    <t>Skolēnu pārvadājumi Vectilžas pagastā</t>
  </si>
  <si>
    <t>Skolēnu pārvadājumi Baltinavas pagastā</t>
  </si>
  <si>
    <t>Skolēnu pārvadāšana Viļakā</t>
  </si>
  <si>
    <t>Komisiju darba samaksa</t>
  </si>
  <si>
    <t>Skolēnu pārvadājumi Kubulu pagastā</t>
  </si>
  <si>
    <t>Skolēnu pārvadājumi Tilžas pagastā</t>
  </si>
  <si>
    <t>Viļakas pilsētas komunālā saimniecība-notekūdenu apsaimniekošana</t>
  </si>
  <si>
    <t>Tilžas kultūras un vēstures nams</t>
  </si>
  <si>
    <t>Lazdukalna pagasta autoceļu (ielu) uzturēšana</t>
  </si>
  <si>
    <t>Medņevas pagasta autoceļu (ielu) uzturēšana</t>
  </si>
  <si>
    <t>Kupravas pagasta autoceļu (ielu) uzturēšana</t>
  </si>
  <si>
    <t>Rugāju pagasta autoceļu (ielu) uzturēšana</t>
  </si>
  <si>
    <t>Baltinavas pagasta autoceļu (ielu) uzturēšana</t>
  </si>
  <si>
    <t>Susāju pagasta autoceļu (ielu) uzturēšana</t>
  </si>
  <si>
    <t>Šķilbēnu pagasta autoceļu (ielu) uzturēšana</t>
  </si>
  <si>
    <t>Žīguru pagasta autoceļu (ielu) uzturēšana</t>
  </si>
  <si>
    <t>Viļakas pilsētas autoceļu (ielu) uzturēšana</t>
  </si>
  <si>
    <t>Vecumu pagasta autoceļu (ielu) uzturēšana</t>
  </si>
  <si>
    <t>Balvu pilsētas stadiona uzturēšana</t>
  </si>
  <si>
    <t>Balvu pensionāru biedrība</t>
  </si>
  <si>
    <t>Balvu Teritoriālā Invalīdu biedrība</t>
  </si>
  <si>
    <t>Tilžas pamatskola</t>
  </si>
  <si>
    <t>Tilžas pamatskolas pirmsskolas izglītības grupas Tilžā</t>
  </si>
  <si>
    <t>Balvu novada Bērnu un jauniešu centrs</t>
  </si>
  <si>
    <t>Sociālie pabalsti</t>
  </si>
  <si>
    <t>Krišjāņu komunālā saimniecība -notekūdeņu apsaimniekošana</t>
  </si>
  <si>
    <t>Kubulu komunālā saimniecība -notekūdeņu apsaimniekošana</t>
  </si>
  <si>
    <t>Bērzpils komunālā saimniecība -notekūdeņu apsaimniekošana</t>
  </si>
  <si>
    <t>Tilžas komunālā saimniecība -notekūdeņu apsaimniekošana</t>
  </si>
  <si>
    <t>Klasifikācijas kods</t>
  </si>
  <si>
    <t>Iestādes un pasākumi</t>
  </si>
  <si>
    <t>Finansēšanas avots</t>
  </si>
  <si>
    <t xml:space="preserve">Kopā </t>
  </si>
  <si>
    <t>Vispārējie ieņēmumi</t>
  </si>
  <si>
    <t xml:space="preserve">Budžeta iestāžu ieņēmumi </t>
  </si>
  <si>
    <t>Valsts un pašvaldību transferti</t>
  </si>
  <si>
    <t>Aizņēmumi</t>
  </si>
  <si>
    <t>01.000</t>
  </si>
  <si>
    <t>Vispārējie valdības dienesti</t>
  </si>
  <si>
    <t>03.000</t>
  </si>
  <si>
    <t>Sabiedriskā kārtība un drošība</t>
  </si>
  <si>
    <t>04.000</t>
  </si>
  <si>
    <t>Ekonomiskā darbība</t>
  </si>
  <si>
    <t>Balvu novada Būvvalde</t>
  </si>
  <si>
    <t>Biznesa ideju konkurss</t>
  </si>
  <si>
    <t>05.000</t>
  </si>
  <si>
    <t>Vides aizsardzība</t>
  </si>
  <si>
    <t>06.000</t>
  </si>
  <si>
    <t>Pašvaldības teritoriju un mājokļu apsaimniekošana</t>
  </si>
  <si>
    <t>Ielu apgaismojums</t>
  </si>
  <si>
    <t xml:space="preserve">Pārējā citur neklasificētā teritoriju un mājokļu apsaimniekošanas darbība </t>
  </si>
  <si>
    <t>Bērzkalnes pagasta komunālā saimniecība</t>
  </si>
  <si>
    <t>07.000</t>
  </si>
  <si>
    <t>Veselība</t>
  </si>
  <si>
    <t>Briežuciema feldšeru veselības punkts</t>
  </si>
  <si>
    <t>Krišjāņu feldšeru veselības punkts</t>
  </si>
  <si>
    <t>Kubulu feldšeru veselības punkts</t>
  </si>
  <si>
    <t>Skujetnieku feldšeru veselības punkts</t>
  </si>
  <si>
    <t>Vectilžas feldšeru veselības punkts</t>
  </si>
  <si>
    <t>Vīksnas feldšeru veselības punkts</t>
  </si>
  <si>
    <t>Zobārstniecības kabinets (Rugāji)</t>
  </si>
  <si>
    <t>08.000</t>
  </si>
  <si>
    <t>Atpūtas un sporta pasākumi</t>
  </si>
  <si>
    <t>Kultūra</t>
  </si>
  <si>
    <t>Bibliotēkas</t>
  </si>
  <si>
    <t>Muzeji</t>
  </si>
  <si>
    <t>Balvu novada muzejs</t>
  </si>
  <si>
    <t>Kultūras nami</t>
  </si>
  <si>
    <t>Briežuciema pagasta Tautas nams</t>
  </si>
  <si>
    <t>Lazdulejas saieta nams</t>
  </si>
  <si>
    <t>Nemateriālās kultūras mantojuma centrs "Upīte"</t>
  </si>
  <si>
    <t>Balvu kultūras un atpūtas centra pasākumi</t>
  </si>
  <si>
    <t>08.600</t>
  </si>
  <si>
    <t>Pārējā citur neklasificētā kultūra</t>
  </si>
  <si>
    <t>09.000</t>
  </si>
  <si>
    <t>Izglītība</t>
  </si>
  <si>
    <t>Pirmsskolas izglītība</t>
  </si>
  <si>
    <t>Pamatizglītība, vispārējā un profesionālā izglītība</t>
  </si>
  <si>
    <t>Eglaines pamatkola</t>
  </si>
  <si>
    <t>Vidusskolas</t>
  </si>
  <si>
    <t>Balvu profesionālā un vispāizglītojošā vidusskola</t>
  </si>
  <si>
    <t>Interešu un profesionālās ievirzes izglītība</t>
  </si>
  <si>
    <t>Peldbaseins</t>
  </si>
  <si>
    <t>Balvu Bērnu un jauniešu centrs</t>
  </si>
  <si>
    <t>Pārējā izglītības vadība</t>
  </si>
  <si>
    <t>Pārējie citur neklasificētie izglītības pakalpojumi</t>
  </si>
  <si>
    <t>10.000</t>
  </si>
  <si>
    <t>Sociālā aizsardzība</t>
  </si>
  <si>
    <t>Pārējais citur neklasificēts atbalsts sociāli atstumtām personām</t>
  </si>
  <si>
    <t>Dotācijas biedrībām aktivitāšu atbalstam</t>
  </si>
  <si>
    <t>Asistenta pakalpojumi personām ar invaliditāti</t>
  </si>
  <si>
    <t>Rugāju komunālā saimniecība - notekūdeņu apsaimniekošana</t>
  </si>
  <si>
    <t>Baltinavas komunālā saimniecība - notekūdeņu apsaimniekošana</t>
  </si>
  <si>
    <t>Lazdukalna komunālā saimniecība - notekūdeņu apsaimniekošana</t>
  </si>
  <si>
    <t>Kupravas pagasta komunālā saimniecība</t>
  </si>
  <si>
    <t>Medņevas pagasta komunālā saimniecība</t>
  </si>
  <si>
    <t>Šķilbēnu pagasta komunālā saimniecība</t>
  </si>
  <si>
    <t>Ieņēmumi</t>
  </si>
  <si>
    <t>Ieņēmumu veidi</t>
  </si>
  <si>
    <t>I</t>
  </si>
  <si>
    <t>IEŅĒMUMI KOPĀ</t>
  </si>
  <si>
    <t>Nodokļu ieņēmumi</t>
  </si>
  <si>
    <t>1.0.0.0.</t>
  </si>
  <si>
    <t>IENĀKUMA NODOKĻI</t>
  </si>
  <si>
    <t>1.1.1.0</t>
  </si>
  <si>
    <t>Iedzīvotāju ienākuma nodoklis</t>
  </si>
  <si>
    <t>1.1.1.2</t>
  </si>
  <si>
    <t>4.0.0.0.</t>
  </si>
  <si>
    <t>ĪPAŠUMA NODOKĻI</t>
  </si>
  <si>
    <t>4.1.0.0</t>
  </si>
  <si>
    <t>Nekustamā īpašuma nodoklis</t>
  </si>
  <si>
    <t>4.1.1.0</t>
  </si>
  <si>
    <t>Nekustamā īpašuma nodoklis par zemi</t>
  </si>
  <si>
    <t>4.1.1.1</t>
  </si>
  <si>
    <t>Nekustamā īpašuma nodokļa par zemi kārtējā saimnieciskā gada ieņēmumi</t>
  </si>
  <si>
    <t>4.1.1.2</t>
  </si>
  <si>
    <t>Nekustamā īpašuma nodoklis par zemi-iepriekšējo gadu parādi</t>
  </si>
  <si>
    <t>4.1.2.0</t>
  </si>
  <si>
    <t>Nekustamā īpašuma nodokļi par ēkām</t>
  </si>
  <si>
    <t>4.1.2.1</t>
  </si>
  <si>
    <t>Nekustamā īpašuma nodoklis par ēkām kārtējā  gada maksājumi</t>
  </si>
  <si>
    <t>t.sk. par inženierbūvēm</t>
  </si>
  <si>
    <t>4.1.2.2</t>
  </si>
  <si>
    <t>4.1.3.0</t>
  </si>
  <si>
    <t>Nekustamā īpašuma nodokļi par mājokļiem</t>
  </si>
  <si>
    <t>4.1.3.1.</t>
  </si>
  <si>
    <t>Nekustamā īpašuma nodokļa par mājokļiem kārtējā saimnieciskā gada ieņēmumi</t>
  </si>
  <si>
    <t>4.1.3.2.</t>
  </si>
  <si>
    <t>5.0.0.0.</t>
  </si>
  <si>
    <t xml:space="preserve">NODOKĻI PAR PAKALPOJUMIEM UN PRECĒM </t>
  </si>
  <si>
    <t>5.4.0.0.</t>
  </si>
  <si>
    <t>Nodokļi par atsevišķām precēm un pakalpojumu veidiem</t>
  </si>
  <si>
    <t>5.4.1.0</t>
  </si>
  <si>
    <t>Azartspēļu nodoklis</t>
  </si>
  <si>
    <t>5.5.0.0.</t>
  </si>
  <si>
    <t>Nodokļi un maksājumi par tiesībām lietot atsevišķas preces</t>
  </si>
  <si>
    <t>5.5.3.0.</t>
  </si>
  <si>
    <t>Dabas resursu nodoklis</t>
  </si>
  <si>
    <t>Nenodokļu ieņēmumi</t>
  </si>
  <si>
    <t>8.0.0.0.</t>
  </si>
  <si>
    <t>Ieņēmumi no uzņēmējdarbības un īpašuma</t>
  </si>
  <si>
    <t>8.6.0.0.</t>
  </si>
  <si>
    <t>Procentu ieņēmumi par depozītiem, kontu atlikumiem, valsts parāda vērtspapīriem un atlikto maksājumu</t>
  </si>
  <si>
    <t>9.0.0.0.</t>
  </si>
  <si>
    <t>VALSTS (PAŠVALDĪBU) NODEVAS UN KANCELEJAS NODEVAS</t>
  </si>
  <si>
    <t>9.4.0.0.</t>
  </si>
  <si>
    <t>9.4.2.0.</t>
  </si>
  <si>
    <t>Valsts nodeva par apliecinājumiem un citu funkciju pildīšanu bāriņtiesās</t>
  </si>
  <si>
    <t>9.4.5.0.</t>
  </si>
  <si>
    <t>Valsts nodeva par civilstāvokļa aktu reģistrēšanu, grozīšanu un papildināšanu</t>
  </si>
  <si>
    <t>9.4.9.0.</t>
  </si>
  <si>
    <t>Pārējās valsts nodevas, kuras ieskaita pašvaldību budžetos</t>
  </si>
  <si>
    <t>9.4.9.1.</t>
  </si>
  <si>
    <t>Nodeva par dzīves vietas deklarēšanu</t>
  </si>
  <si>
    <t>9.5.0.0.</t>
  </si>
  <si>
    <t>Pašvaldības nodevas</t>
  </si>
  <si>
    <t>9.5.1.2.</t>
  </si>
  <si>
    <t>Pašvaldības nodeva par izklaidējoša rakstura pasākumu sarīkošanu publiskās vietās</t>
  </si>
  <si>
    <t>9.5.1.4.</t>
  </si>
  <si>
    <t>Pašvaldības nodeva par tirdzniecību publiskās vietās</t>
  </si>
  <si>
    <t>9.5.1.7.</t>
  </si>
  <si>
    <t>Pašvaldības nodeva par reklāmas,afišu un sludinājumu izvietošanu publiskajās vietās</t>
  </si>
  <si>
    <t>9.5.2.1.</t>
  </si>
  <si>
    <t>Pašvaldības nodeva par būvatļaujas saņemšanu</t>
  </si>
  <si>
    <t>9.5.2.9.</t>
  </si>
  <si>
    <t>Pārējās nodevas, ko uzliek pašvaldības</t>
  </si>
  <si>
    <t>10.0.0.0.</t>
  </si>
  <si>
    <t>NAUDAS SODI UN SANKCIJAS</t>
  </si>
  <si>
    <t>10.1.4.0.</t>
  </si>
  <si>
    <t xml:space="preserve">Naudas sodi, ko uzliek pašvaldības </t>
  </si>
  <si>
    <t>10.1.4.1.</t>
  </si>
  <si>
    <t>Naudas sodi, ko uzliek pašvaldības administratīvo pārkāpumu komisija</t>
  </si>
  <si>
    <t>10.1.5.0.</t>
  </si>
  <si>
    <t>Naudas sodi, ko uzliek pašvaldību institūcijas  par pārkāpumiem ceļu satiksmē</t>
  </si>
  <si>
    <t>12.0.0.0.</t>
  </si>
  <si>
    <t>PĀRĒJIE NENODOKĻU IEŅĒMUMI</t>
  </si>
  <si>
    <t>12.3.9.9.</t>
  </si>
  <si>
    <t>Pārējie dažādi nenodokļu ieņēmumi, kas nav iepriekš klasificēti šajā klasifikācijā</t>
  </si>
  <si>
    <t>12.3.9.9.4</t>
  </si>
  <si>
    <t>Pārējie ieņēmumi</t>
  </si>
  <si>
    <t>Ziemeļlatgales sporta centrs (pasākumi)</t>
  </si>
  <si>
    <t>13.0.0.0.</t>
  </si>
  <si>
    <t>IEŅĒMUMI NO VALSTS (PAŠVALDĪBAS) ĪPAŠUMA IZNOMĀŠANAS  PĀRDOŠANAS</t>
  </si>
  <si>
    <t>13.1.0.0.</t>
  </si>
  <si>
    <t>Ieņēmumi no ēku un būvju īpašuma pārdošanas</t>
  </si>
  <si>
    <t>13.2.0.0.</t>
  </si>
  <si>
    <t>Ieņēmumi no zemes, mežu īpašuma pārdošanas</t>
  </si>
  <si>
    <t>13.2.1.0.</t>
  </si>
  <si>
    <t>Ieņēmumi no zemes īpašuma pārdošanas</t>
  </si>
  <si>
    <t>17.0.0.0.</t>
  </si>
  <si>
    <t>NO VALSTS BUDŽETA DAĻĒJI FINANSĒTO PUBLISKO PERSONU UN BUDŽETA NEFINANSĒTO IESTĀŽU TRANSFERTI</t>
  </si>
  <si>
    <t>Dienas aprūpes centrs un grupu dzīvokļi Viļaka</t>
  </si>
  <si>
    <t>18.0.0.0.</t>
  </si>
  <si>
    <t>VALSTS BUDŽETA TRANSFERTI</t>
  </si>
  <si>
    <t>18.6.2.0.</t>
  </si>
  <si>
    <t>Pašvaldības saņemtie valsts budžeta transferti noteiktam mērķim</t>
  </si>
  <si>
    <t>Mērķdotācijas pašvaldību pamata un vispārējās izglītības iestāžu pedagogu darba samaksai un valsts sociālās apdrošināšanas obligātajām iemaksām</t>
  </si>
  <si>
    <t>Mērķdotācijas pašvaldību profesionālās pamatizglītības, arodizglītības un profesionālās vidējās izglītības programmu pedagogu darba samaksai un valsts sociālās apdrošināšanas obligātajām iemaksām</t>
  </si>
  <si>
    <t>Mērķdotācija interešu izglītības programmu pedagogu daļējai darba samaksai un valsts sociālās apdrošināšanas obligātajām iemaksām</t>
  </si>
  <si>
    <t>Mērķdotācijas pašvaldības izglītības iestāžu piecgadīgo un sešgadīgo bērnu apmācības pedagogu darba samaksai un valsts soc.apdroš.obligātajām iemaksām</t>
  </si>
  <si>
    <t>Mērķdotācija audžuģimenēm par bērna uzturnaudas palielināšanu</t>
  </si>
  <si>
    <t>Valsts dotācija autoceļu (ielu) uzturēšanai</t>
  </si>
  <si>
    <t>Valsts dotācija sporta skolai</t>
  </si>
  <si>
    <t>Valsts dotācija mūzikas un mākslas skolām</t>
  </si>
  <si>
    <t>MD māksliniecisko kolektīvu vadītāju darba samaksai un valsts sociālās apdrošināšanas obligātajām iemaksām</t>
  </si>
  <si>
    <t>Lazdukalna Saieta nams</t>
  </si>
  <si>
    <t>Vectilžas sporta un atpūtas centrs</t>
  </si>
  <si>
    <t>Valsts un pašvaldības vienotā klientu apkalpošanas centra uzturēšana</t>
  </si>
  <si>
    <t>LM finansējums asistenta pakalpojumiem personām ar invaliditāti</t>
  </si>
  <si>
    <t>Valsts dotācija mājokļa pabalstam</t>
  </si>
  <si>
    <t>18.6.3.0.</t>
  </si>
  <si>
    <t>Pašvaldību no valsts budžeta iestādēm saņemtie transferti ES politiku instrumentu un pārējās ārvalstu finanšu palīdzības līdzfinansētajiem projektiem (pasākumiem)</t>
  </si>
  <si>
    <t>18.6.4.0.</t>
  </si>
  <si>
    <t>Pašvaldību budžetā saņemta dotācijas no pašvaldības finanšu izlīdzināšanas fonda</t>
  </si>
  <si>
    <t>Sociālās aprūpes centrs "Rugāji"</t>
  </si>
  <si>
    <t>Maksas pakalpojumi un citi pašu ieņēmumi</t>
  </si>
  <si>
    <t>21.3.0.0.</t>
  </si>
  <si>
    <t>Ieņēmumi no budžeta iestāžu sniegtajiem maksas pakalpojumiem un citi pašu ieņēmumi</t>
  </si>
  <si>
    <t>21.3.5.0.</t>
  </si>
  <si>
    <t>Maksa par izglītības pakalpojumiem</t>
  </si>
  <si>
    <t>21.3.5.1.</t>
  </si>
  <si>
    <t>Mācību maksa</t>
  </si>
  <si>
    <t>Balvu Mākslas skola</t>
  </si>
  <si>
    <t>Balvu Mūzikas skola</t>
  </si>
  <si>
    <t>21.3.5.2.</t>
  </si>
  <si>
    <t>Ieņēmumi no vecāku maksām</t>
  </si>
  <si>
    <t>Viļakas PII "Namiņš"</t>
  </si>
  <si>
    <t>Baltinavas vidusskolas pirmsskolas izglītības grupas</t>
  </si>
  <si>
    <t>21.3.7.0.</t>
  </si>
  <si>
    <t>Ieņēmumi par dokumentu izsniegšanu un kancelejas pakalpojumiem</t>
  </si>
  <si>
    <t>21.3.7.9.</t>
  </si>
  <si>
    <t>Ieņēmumi par pārējo dokumentu izsniegšanu un pārējiem kancelejas pakalpojumiem</t>
  </si>
  <si>
    <t>21.3.8.0.</t>
  </si>
  <si>
    <t>Ieņēmumi par nomu un īri</t>
  </si>
  <si>
    <t>21.3.8.1.</t>
  </si>
  <si>
    <t>Ieņēmumi par telpu nomu (novads)</t>
  </si>
  <si>
    <t>Valsts un pašvaldības vienotā klientu apkalpošanas centrs</t>
  </si>
  <si>
    <t>Vīksnas pagasta Tautas nams</t>
  </si>
  <si>
    <t>21.3.8.3.</t>
  </si>
  <si>
    <t>Ieņēmumi no kustamā īpašuma iznomāšanas</t>
  </si>
  <si>
    <t>21.3.8.4.</t>
  </si>
  <si>
    <t>Ieņēmumi par zemes nomu</t>
  </si>
  <si>
    <t>21.3.8.9.</t>
  </si>
  <si>
    <t>Pārējie ieņēmumi par nomu un īri</t>
  </si>
  <si>
    <t>21.3.9.0.</t>
  </si>
  <si>
    <t>Ieņēmumi par pārējiem budžeta iestāžu sniegtajiem maksas pakalpojumiem</t>
  </si>
  <si>
    <t>21.3.9.1.</t>
  </si>
  <si>
    <t>Maksa par personu uzturēšanos sociālās aprūpes iestādēs</t>
  </si>
  <si>
    <t>21.3.9.2.</t>
  </si>
  <si>
    <t>Ieņēmumi no pacientu iemaksām un sniegtajiem rehabilitācijas un ārstniecības pakalpojumiem</t>
  </si>
  <si>
    <t>Kubulu FVP</t>
  </si>
  <si>
    <t>Krišjāņu FVP</t>
  </si>
  <si>
    <t>Vectilžas FVP</t>
  </si>
  <si>
    <t>Vīksnas FVP</t>
  </si>
  <si>
    <t>21.3.9.3.</t>
  </si>
  <si>
    <t>Ieņēmumi par biļešu realizāciju</t>
  </si>
  <si>
    <t>Bērzpils pagasta Saieta nams</t>
  </si>
  <si>
    <t>Kubulu Kultūras nams</t>
  </si>
  <si>
    <t>Rugāju Tautas nams</t>
  </si>
  <si>
    <t>Nemateiālās kultūras mantojuma centrs "Upīte"</t>
  </si>
  <si>
    <t>21.3.9.4.</t>
  </si>
  <si>
    <t>Ieņēmumi par dzīvokļu un komunālajiem pakalpojumiem</t>
  </si>
  <si>
    <t>Balvu novada pašvaldība</t>
  </si>
  <si>
    <t>21.3.9.4.2.</t>
  </si>
  <si>
    <t>Ieņēmumi par komunālājiem pakalpojumiem</t>
  </si>
  <si>
    <t>`</t>
  </si>
  <si>
    <t>Baltinavas pagasta komunālā saimniecība-notekūdeņu apsaimniekošana</t>
  </si>
  <si>
    <t>Vecumu komunālā saimniecība-notekūdeņu apsaimniekošana</t>
  </si>
  <si>
    <t>21.3.9.4.3.</t>
  </si>
  <si>
    <t>Apsaimniekošanas maksa</t>
  </si>
  <si>
    <t xml:space="preserve">21.3.9.9. </t>
  </si>
  <si>
    <t>Citi ieņēmumi par maksas pakalpojumiem</t>
  </si>
  <si>
    <t>21.3.9.9.1.</t>
  </si>
  <si>
    <t>Ieņēmumi par skolēnu ēdināšanu</t>
  </si>
  <si>
    <t>21.3.9.9.2.</t>
  </si>
  <si>
    <t>Peldbaseina ieņēmumi</t>
  </si>
  <si>
    <t>21.3.9.9.4.</t>
  </si>
  <si>
    <t>Maksas pakalpojumi</t>
  </si>
  <si>
    <t>Pašvaldības policija (atskurbtuve)</t>
  </si>
  <si>
    <t>21.3.9.9.7.</t>
  </si>
  <si>
    <t>Ieņēmumi no darbinieku ēdināšanas</t>
  </si>
  <si>
    <t xml:space="preserve">Bērzkalnes PII </t>
  </si>
  <si>
    <t>21.4.0.0.</t>
  </si>
  <si>
    <t>21.4.2.9.</t>
  </si>
  <si>
    <t>Pārējie iepriekš neklasificētie īpašiem mērķiem noteiktie ieņēmumi</t>
  </si>
  <si>
    <t>Rādītāju nosaukumi</t>
  </si>
  <si>
    <t>Budžeta kategoriju kodi</t>
  </si>
  <si>
    <t>I IEŅĒMUMI - kopā</t>
  </si>
  <si>
    <t xml:space="preserve">  Ieņēmumi no iedzīvotāju ienākuma nodokļa</t>
  </si>
  <si>
    <t xml:space="preserve">  1.1.0.0.</t>
  </si>
  <si>
    <t xml:space="preserve">  Nekustamā īpašuma nodoklis</t>
  </si>
  <si>
    <t xml:space="preserve">  4.1.0.0.</t>
  </si>
  <si>
    <t>NODOKĻI PAR PAKALPOJUMIEM UN PRECĒM</t>
  </si>
  <si>
    <t xml:space="preserve">  Nodokļi un maksājumi par tiesībām lietot atsevišķas preces</t>
  </si>
  <si>
    <t xml:space="preserve">  5.5.0.0.</t>
  </si>
  <si>
    <t>IEŅĒMUMI NO UZŅĒMĒJDARBĪBAS UN ĪPAŠUMA</t>
  </si>
  <si>
    <t xml:space="preserve">  Valsts nodevas, kuras ieskaita pašvaldību budžetā</t>
  </si>
  <si>
    <t xml:space="preserve">  9.4.0.0.</t>
  </si>
  <si>
    <t xml:space="preserve">  Pašvaldību nodevas</t>
  </si>
  <si>
    <t xml:space="preserve">  9.5.0.0.</t>
  </si>
  <si>
    <t xml:space="preserve">  Naudas sodi</t>
  </si>
  <si>
    <t xml:space="preserve">  10.1.0.0.</t>
  </si>
  <si>
    <t xml:space="preserve">  Citi dažādi nenodokļu ieņēmumi</t>
  </si>
  <si>
    <t>12.3.0.0.</t>
  </si>
  <si>
    <t>Ieņēmumi no valsts (pašvaldību) īpašuma iznomāšanas, pārdošanas un no nodokļu pamatparāda kapitalizācijas</t>
  </si>
  <si>
    <t xml:space="preserve">  Ieņēmumi no ēku un būvju īpašuma pārdošanas</t>
  </si>
  <si>
    <t xml:space="preserve">  13.1.0.0.</t>
  </si>
  <si>
    <t xml:space="preserve">  Ieņēmumi no zemes, meža īpašuma pārdošanas</t>
  </si>
  <si>
    <t xml:space="preserve">  13.2.0.0.</t>
  </si>
  <si>
    <t>No valsts budžeta daļēji finansēto atvasināto publisko personu un budžeta nefinansēto iestāžu transferti</t>
  </si>
  <si>
    <t xml:space="preserve">  Pašvaldību saņemtie transferti no valsts budžeta daļēji finansētām atvasinātām publiskām personām un no budžeta nefinansētām iestādēm</t>
  </si>
  <si>
    <t xml:space="preserve">  17.2.0.0.</t>
  </si>
  <si>
    <t>Valsts budžeta transferti</t>
  </si>
  <si>
    <t xml:space="preserve">  Pašvaldību saņemtie transferti no valsts budžeta</t>
  </si>
  <si>
    <t xml:space="preserve">  18.6.0.0.</t>
  </si>
  <si>
    <t>Budžeta iestāžu ieņēmumi</t>
  </si>
  <si>
    <t>21.0.0.0.</t>
  </si>
  <si>
    <t xml:space="preserve">  Ieņēmumi no budžeta iestāžu sniegtajiem maksas pakalpojumiem un citi pašu ieņēmumi</t>
  </si>
  <si>
    <t xml:space="preserve">  21.3.0.0.</t>
  </si>
  <si>
    <t xml:space="preserve">  21.4.0.0.</t>
  </si>
  <si>
    <t>II IZDEVUMI - kopā</t>
  </si>
  <si>
    <t/>
  </si>
  <si>
    <t>Izdevumi atbilstoši funkcionālajām kategorijām</t>
  </si>
  <si>
    <t>Teritoriju un mājokļu apsaimniekošana</t>
  </si>
  <si>
    <t>Atpūta, kultūra un reliģija</t>
  </si>
  <si>
    <t>Izdevumi atbilstoši ekonomiskajām kategorijām</t>
  </si>
  <si>
    <t>Atlīdzība</t>
  </si>
  <si>
    <t>1000</t>
  </si>
  <si>
    <t>2000</t>
  </si>
  <si>
    <t>3000</t>
  </si>
  <si>
    <t>Procentu izdevumi</t>
  </si>
  <si>
    <t>4000</t>
  </si>
  <si>
    <t>5000</t>
  </si>
  <si>
    <t>6000</t>
  </si>
  <si>
    <t>Transferti, uzturēšanas izdevumu transferti, pašu resursu maksājumi, starptautiskā sadarbība</t>
  </si>
  <si>
    <t>7000</t>
  </si>
  <si>
    <t>III Ieņēmumu pārsniegums (+) deficīts (-) (I-II)</t>
  </si>
  <si>
    <t>IV FINANSĒŠANA - kopā</t>
  </si>
  <si>
    <t>Naudas līdzekļi un noguldījumi</t>
  </si>
  <si>
    <t>F20010000</t>
  </si>
  <si>
    <t xml:space="preserve">  Naudas līdzekļi</t>
  </si>
  <si>
    <t xml:space="preserve">  F21010000</t>
  </si>
  <si>
    <t xml:space="preserve">  Pieprasījuma noguldījumi</t>
  </si>
  <si>
    <t xml:space="preserve">  F22010000</t>
  </si>
  <si>
    <t xml:space="preserve">    Pieprasījuma noguldījumu atlikums gada sākumā</t>
  </si>
  <si>
    <t xml:space="preserve">    F22010000 AS</t>
  </si>
  <si>
    <t xml:space="preserve">    Pieprasījuma noguldījumu atlikums perioda beigās</t>
  </si>
  <si>
    <t>F40020000</t>
  </si>
  <si>
    <t xml:space="preserve">  Saņemtie aizņēmumi</t>
  </si>
  <si>
    <t xml:space="preserve">  Saņemto aizņēmumu atmaksa</t>
  </si>
  <si>
    <t xml:space="preserve">  F40020020</t>
  </si>
  <si>
    <t>Valsts dotācija sociālās aprūpes centru iemītniekiem</t>
  </si>
  <si>
    <t>F40020010</t>
  </si>
  <si>
    <t>Atlikums             uz gada sākumu</t>
  </si>
  <si>
    <t>Valsts dotācija Ukrainas civiliedzīvotāju izmitināšanas iespējām</t>
  </si>
  <si>
    <t>Ukrainas civiliedzīvotāju izmitināšanas iespējām</t>
  </si>
  <si>
    <t>Kubulu PII Ieviņa</t>
  </si>
  <si>
    <t>Atbalsts Ukrainas civiliedzīvotājiem un izmitināšanas iespējām</t>
  </si>
  <si>
    <t>Ieņēmumi par nedzīvojamā nekustamā īpašuma nomu</t>
  </si>
  <si>
    <t>PAŠVALDĪBU BUDŽETU TRANSFERTI</t>
  </si>
  <si>
    <t>19.0.0.0.</t>
  </si>
  <si>
    <t>19.2.0.0.01.</t>
  </si>
  <si>
    <t>Ieņēmumi izglītības funkciju nodoršināšanai</t>
  </si>
  <si>
    <t>Pašvaldību budžetu transferti</t>
  </si>
  <si>
    <t>19.0.0.0</t>
  </si>
  <si>
    <t>Pašvaldību saņemtie transferti no citām pašvaldībām</t>
  </si>
  <si>
    <t>19.2.0.0.</t>
  </si>
  <si>
    <t>Balvu sporta skola trenažieru zāles izmantošanu</t>
  </si>
  <si>
    <t>Tilžas pamatskolas Tilžas pirmsskolas grupa</t>
  </si>
  <si>
    <t>Rekavas vidusskola pirmsskolas grupas</t>
  </si>
  <si>
    <t>Bērzkalnes komunālā saimniecība - notekūdeņu apsaimniekošana</t>
  </si>
  <si>
    <t>Briežuciema komunālā saimniecība - notekūdeņu apsaimniekošana</t>
  </si>
  <si>
    <t>Lazdulejas komunālā saimniecība - notekūdeņu apsaimniekošana</t>
  </si>
  <si>
    <t>Vīksnas komunālā saimniecība-notekūdenu apsaimniekošana</t>
  </si>
  <si>
    <t>Tilžas pamatskolas Tilžas pirmsskolas grupas</t>
  </si>
  <si>
    <t>Autoceļu (ielu) uzturēšanas līdzekļu rezerves fonds</t>
  </si>
  <si>
    <t>Viļakas vidusskola</t>
  </si>
  <si>
    <t>Pašvaldības līdzdalības budžets</t>
  </si>
  <si>
    <t>Eglaines pamatskolas pirmsskolas grupas</t>
  </si>
  <si>
    <t>Rugāju vidusskolas pirmsskolas grupas</t>
  </si>
  <si>
    <t>Lazdulejas komunālā saimniecība.</t>
  </si>
  <si>
    <t>Lazdukalna pagasta apgaismojuma un autoceļu (ielu) uzturēšana</t>
  </si>
  <si>
    <t>Rubeņu tautas nams</t>
  </si>
  <si>
    <t xml:space="preserve">Pansionāts "Balvi" </t>
  </si>
  <si>
    <t xml:space="preserve">Tilžas pagasta komunālā saimniecība </t>
  </si>
  <si>
    <t xml:space="preserve">Balvu Profesionālā un vispārizglītojošā vidusskola </t>
  </si>
  <si>
    <t xml:space="preserve">Vīksnas pagasta komunālā saimniecība </t>
  </si>
  <si>
    <t xml:space="preserve">Sporta skolas peldbaseins </t>
  </si>
  <si>
    <t xml:space="preserve">Balvu sākumskola </t>
  </si>
  <si>
    <t xml:space="preserve">Balvu Kultūras un atpūtas centrs </t>
  </si>
  <si>
    <t xml:space="preserve">Baltinavas kultūras nams </t>
  </si>
  <si>
    <t xml:space="preserve">Balvu Novada muzejs </t>
  </si>
  <si>
    <t>Sociālās mājas</t>
  </si>
  <si>
    <t xml:space="preserve">Bērzpils pamatskola </t>
  </si>
  <si>
    <t xml:space="preserve">Bērzkalnes pagasta komunālā saimniecība </t>
  </si>
  <si>
    <t xml:space="preserve">Kupravas pagasta komunālā saimniecība </t>
  </si>
  <si>
    <t xml:space="preserve">Šķilbēnu pagasta komunālā saimniecība </t>
  </si>
  <si>
    <t xml:space="preserve">Vecumu komunālā saimniecība </t>
  </si>
  <si>
    <t xml:space="preserve">Sociālā pārvalde </t>
  </si>
  <si>
    <t xml:space="preserve">Balvu Centrālā bibliotēka </t>
  </si>
  <si>
    <t>Balvu kultūras un atpūtas centra kultūras pasākumi</t>
  </si>
  <si>
    <t xml:space="preserve">Skolēnu pārvadāšana Šķilbēnu pagasta pārvalde </t>
  </si>
  <si>
    <t xml:space="preserve">Skolēnu pārvadāšana Viļakā </t>
  </si>
  <si>
    <t xml:space="preserve">Rugāju pagasta komunālā saimniecība </t>
  </si>
  <si>
    <t xml:space="preserve">Viļakas muzejs </t>
  </si>
  <si>
    <t xml:space="preserve">Baltinavas muzejs </t>
  </si>
  <si>
    <t>17.2.0.0</t>
  </si>
  <si>
    <t>Vēlēšanu komisija</t>
  </si>
  <si>
    <t>Sociāli pakalpojumi</t>
  </si>
  <si>
    <t>21.0.0.0</t>
  </si>
  <si>
    <t>Latvijas neredzīgo biedrība</t>
  </si>
  <si>
    <t>Balvu novada domes</t>
  </si>
  <si>
    <t>Daudzfunkcionālais  sociālo pakalpojumu centrs</t>
  </si>
  <si>
    <t>Rekavas  komunālā saimniecība notekūdeņi</t>
  </si>
  <si>
    <t>Skolēnu nodarbinātība vasarā</t>
  </si>
  <si>
    <t>Valsts dotācija asistentu pakalpojumu nodrošināšanai</t>
  </si>
  <si>
    <t xml:space="preserve">    F22010000</t>
  </si>
  <si>
    <t>Stacijas  pamatskola</t>
  </si>
  <si>
    <t>Balvu pilsētas teritorijas apsaimniekošana</t>
  </si>
  <si>
    <t>Balvu muižas ēkas saimnieciskie izdevumi</t>
  </si>
  <si>
    <t>Viļakas pirmsskolas izglītības iestāde "Namiņš" Žīguru grupa</t>
  </si>
  <si>
    <t>Viļakas PII "Namiņš" Žīguru grupa</t>
  </si>
  <si>
    <t>9.4.3.0.</t>
  </si>
  <si>
    <t>Valsts nodeva par uzvārda, vārda un tautības ieraksta maiņu personu apliecinošos dokumentos</t>
  </si>
  <si>
    <t>9.4.6.0.</t>
  </si>
  <si>
    <t>Valsts nodeva par speciālu atļauju (licenču) izsniegšanu</t>
  </si>
  <si>
    <t>Balvu apvienības pārvalde</t>
  </si>
  <si>
    <t>Baltinavas apvienības pārvalde</t>
  </si>
  <si>
    <t>Rugāju apvienības pārvalde</t>
  </si>
  <si>
    <t>Viļakas apvienības pārvalde</t>
  </si>
  <si>
    <t>Rugāju  apvienības pārvalde</t>
  </si>
  <si>
    <t>Bezemisiju  transportlīdzekļa iegāde skolēnu pārvadāšanai Balvu novadā</t>
  </si>
  <si>
    <t>SAM 5.1.1.1  Publiskās infrastruktūras kvalitātes uzlabošana uzņēmējdarbības atbalstam Balvos</t>
  </si>
  <si>
    <t>Balvu valsts ģimnāzijas projekts "Our Baltic Sea"NPJR-2024/10114</t>
  </si>
  <si>
    <t>Ielu apgaismojums Viļakas pilsētā</t>
  </si>
  <si>
    <t>Susāju pagasta komunālā saimniecība</t>
  </si>
  <si>
    <t>Žīguru pagasta komunālā saimniecība</t>
  </si>
  <si>
    <t>Medņevas pagasta  komunālā saimniecība</t>
  </si>
  <si>
    <t>Baltinavas pagasta komunālā saimniecība</t>
  </si>
  <si>
    <t>Viļakas pilsētas komunālā saimniecība</t>
  </si>
  <si>
    <t>Bērzkalnes  pagasta ūdensapgāde</t>
  </si>
  <si>
    <t>Bērzpils  pagasta ūdensapgāde</t>
  </si>
  <si>
    <t>Briežuciema  pagasta ūdensapgāde</t>
  </si>
  <si>
    <t>Krišjāņu  pagasta ūdensapgāde</t>
  </si>
  <si>
    <t>Kubulu  pagasta ūdensapgāde</t>
  </si>
  <si>
    <t>Kupravas  pagasta ūdensapgāde</t>
  </si>
  <si>
    <t>Lazdulejas  pagasta ūdensapgāde</t>
  </si>
  <si>
    <t>Medņevas  pagasta ūdensapgāde</t>
  </si>
  <si>
    <t>Rekavas  ciema ūdensapgāde</t>
  </si>
  <si>
    <t>Šķilbēnu  pagasta ūdensapgāde</t>
  </si>
  <si>
    <t>Tilžas  pagasta ūdensapgāde</t>
  </si>
  <si>
    <t>Upītes ciema  ūdensapgāde</t>
  </si>
  <si>
    <t>Vectilžas  pagasta ūdensapgāde</t>
  </si>
  <si>
    <t>Vecumu  pagasta ūdensapgāde</t>
  </si>
  <si>
    <t>Viļakas pilsētas  ūdensapgāde</t>
  </si>
  <si>
    <t>Vīksnas  pagasta ūdensapgāde</t>
  </si>
  <si>
    <t xml:space="preserve"> Žīguru  pagasta ūdensapgāde</t>
  </si>
  <si>
    <t>Rekavas ciema ūdensapgāde</t>
  </si>
  <si>
    <t>Viļakas pilsētas ūdensapgāde</t>
  </si>
  <si>
    <t>Upītes  pagasta ūdensapgāde</t>
  </si>
  <si>
    <t>Krišjāņu pagasta ūdensapgāde</t>
  </si>
  <si>
    <t>Baltinavas pagasta notekūdeņu apsaimniekošana</t>
  </si>
  <si>
    <t>Bērzkalnes pagasta notekūdeņu apsaimniekošana</t>
  </si>
  <si>
    <t>Bērzpils pagasta notekūdeņu apsaimniekošana</t>
  </si>
  <si>
    <t>Briežuciema pagasta notekūdeņu apsaimniekošana</t>
  </si>
  <si>
    <t>Kubulu pagasta notekūdeņu apsaimniekošana</t>
  </si>
  <si>
    <t>Kupravas pagasta notekūdeņu apsaimniekošana</t>
  </si>
  <si>
    <t>Krišjāņu pagasta notekūdeņu apsaimniekošana</t>
  </si>
  <si>
    <t>Lazdukalna pagasta notekūdeņu apsaimniekošana</t>
  </si>
  <si>
    <t>Lazdulejas pagasta notekūdeņu apsaimniekošana</t>
  </si>
  <si>
    <t>Medņevas pagasta notekūdeņu apsaimniekošana</t>
  </si>
  <si>
    <t>Rugāju pagasta notekūdeņu apsaimniekošana</t>
  </si>
  <si>
    <t>Viļakas pilsētas notekūdeņu apsaimniekošana</t>
  </si>
  <si>
    <t>Vīksnas pagasta notekūdeņu apsaimniekošana</t>
  </si>
  <si>
    <t>Žīguru pagasta notekūdeņu apsaimniekošana</t>
  </si>
  <si>
    <t>Viļakas pilsētas atkritumu apsaimniekošana</t>
  </si>
  <si>
    <t>Žīguru pagasta komunālā saimniecība - apkure</t>
  </si>
  <si>
    <t>Balvu novada teritorijas plānojuma izstrāde</t>
  </si>
  <si>
    <t>Projekts "Sociālo mājokļu atjaunošana vai jauno sociālo mājokļu būvniecība Balvu novadā"</t>
  </si>
  <si>
    <t>Vides pieejamības nodrošināšana Balvu novada publisko pakalpojumu ēkās</t>
  </si>
  <si>
    <t>Valsts sociālās apdrošināšanas obligātās iemaksas no nepilnām likmēm</t>
  </si>
  <si>
    <t xml:space="preserve"> Naudas līdzekļu atlikums gada sākumā</t>
  </si>
  <si>
    <t xml:space="preserve"> Naudas līdzekļu atlikums perioda beigās</t>
  </si>
  <si>
    <t xml:space="preserve">    F21010000 AS</t>
  </si>
  <si>
    <t xml:space="preserve">    F21010000</t>
  </si>
  <si>
    <t>Projekts "Sabiedrības digitālo prasmju attīstība"</t>
  </si>
  <si>
    <t>Projekts "Esi vesels Balvu novadā!"</t>
  </si>
  <si>
    <t>Viļakas vidusskolas Erasmus+ projekts "SEED"</t>
  </si>
  <si>
    <t>Biedrība "Sudraba pakavi"</t>
  </si>
  <si>
    <t>Finansējums nevalstiskajām organizācijām projektu īstenošanai</t>
  </si>
  <si>
    <t>Izglītības iestāžu datortehnikas iegāde</t>
  </si>
  <si>
    <t>Vīksnas pagasta ūdensapgāde</t>
  </si>
  <si>
    <t>Žīguru pagasta ūdensapgāde</t>
  </si>
  <si>
    <t>Upītes feldšeru veselības punkts</t>
  </si>
  <si>
    <t>Kupravas feldšeru veselības punkts</t>
  </si>
  <si>
    <t>Krišjānu feldšeru veselības punkts</t>
  </si>
  <si>
    <t>Krišjāņu pagasta komunālā saimniecība - apkure</t>
  </si>
  <si>
    <t>Kupravas pagasta komunālā saimniecība - apkure</t>
  </si>
  <si>
    <t>Rekavas pagasta komunālā saimniecība - apkure</t>
  </si>
  <si>
    <t>Tilžas pagasta komunālā saimniecība - apkure</t>
  </si>
  <si>
    <t>Vecumu pagasta komunālā saimniecība - apkure</t>
  </si>
  <si>
    <t xml:space="preserve">Vispārējie pamatbudžeta ieņēmumi (EUR) </t>
  </si>
  <si>
    <t xml:space="preserve">Maksas pakalpojumi un pašu ieņēmumi (EUR) </t>
  </si>
  <si>
    <t>Valsts mērķdotācijas (EUR)</t>
  </si>
  <si>
    <t>Centrālā bibliotēka dotācija pielāgotās literatūras bibliotēkas darbinieka darba algai un saimnieciskajiem izdevumiem</t>
  </si>
  <si>
    <t>Feldšeru veselības punktu dotācija</t>
  </si>
  <si>
    <t>Atalgojums (2026)</t>
  </si>
  <si>
    <t>DDVSAOI (2026)</t>
  </si>
  <si>
    <t>Preces un pakalpojumi (2026)</t>
  </si>
  <si>
    <t>Mācību, darba un dienesta komandējumi, darba braucieni (2026)</t>
  </si>
  <si>
    <t>Pakalpojumi (2026)</t>
  </si>
  <si>
    <t>Krājumi, materiāli, energoresursi, preces, biroja preces un inventārs (2026)</t>
  </si>
  <si>
    <t>Izdevumi periodikas iegādei bibliotēku krājumiem (2026)</t>
  </si>
  <si>
    <t>Budžeta iestāžu nodokļu, nodevu un sankciju maksājumi (2026)</t>
  </si>
  <si>
    <t>Subsīdijas un dotācijas (2026)</t>
  </si>
  <si>
    <t>Procentu maksājumi (2026)</t>
  </si>
  <si>
    <t>Pamatkapitāla veidošana (2026)</t>
  </si>
  <si>
    <t>Sociālā rakstura maksājumi un kompensācijas (2026)</t>
  </si>
  <si>
    <t>Transferti (2026)</t>
  </si>
  <si>
    <t>Atlīdzība (2026)</t>
  </si>
  <si>
    <t>Viļakas pilsētas pašvaldības dzīvokļu uzturēšana</t>
  </si>
  <si>
    <t>Kultūras un tūrisma pārvaldes pasākumi</t>
  </si>
  <si>
    <t>Balvu sporta skola pilsētas stadions</t>
  </si>
  <si>
    <t>Daudzfunkcionālais pakalpojumu centrs Balvos</t>
  </si>
  <si>
    <t>Daudzfunkcionālais pakalpojumu centrs Viļakā</t>
  </si>
  <si>
    <t>Kultūras un tūrisma pārvalde</t>
  </si>
  <si>
    <t>Mērķdotācija pašvaldību izglītības iestādēm latgaliešu rakstu valodas apguvei</t>
  </si>
  <si>
    <t>Projekts "Digitālā darba ar jaunatni sistēmas attīstība pašvaldībās"</t>
  </si>
  <si>
    <t>Daudzfunkcionālais pakalpojumi centrs</t>
  </si>
  <si>
    <t>Uzņēmēju balle</t>
  </si>
  <si>
    <t>Uzņēmejdarbības atbalsts</t>
  </si>
  <si>
    <t>Skujetnieku FVP</t>
  </si>
  <si>
    <t>Balvu pilsētas pašvaldības dzīvokļu uzturēšana</t>
  </si>
  <si>
    <t>Bērzpils pagasta pašvaldības dzīvokļu uzturēšana</t>
  </si>
  <si>
    <t>Briežuciema pagasta pašvaldības dzīvokļu uzturēšana</t>
  </si>
  <si>
    <t>Kubulu pagasta pašvaldības dzīvokļu uzturēšana</t>
  </si>
  <si>
    <t>Krišjāņu pagasta pašvaldības dzīvokļu uzturēšana</t>
  </si>
  <si>
    <t>Lazdulejas pagasta pašvaldības dzīvokļu uzturēšana</t>
  </si>
  <si>
    <t>Tilžas pagasta pašvaldības dzīvokļu uzturēšana</t>
  </si>
  <si>
    <t>Vīksnas pagasta pašvaldības dzīvokļu uzturēšana</t>
  </si>
  <si>
    <t>Baltinavas pagasta pašvaldības dzīvokļu uzturēšana</t>
  </si>
  <si>
    <t>Rugāju pagasta pašvaldības dzīvokļu uzturēšana</t>
  </si>
  <si>
    <t>Lazdukalna pagasta pašvaldības dzīvokļu uzturēšana</t>
  </si>
  <si>
    <t>Vecumu pagasta pašvaldības dzīvokļu uzturēšana</t>
  </si>
  <si>
    <t>Žīguru pagasta pašvaldības dzīvokļu uzturēšana</t>
  </si>
  <si>
    <t>Šķilbēnu pagasta pašvaldības dzīvokļu uzturēšana</t>
  </si>
  <si>
    <t>Medņevas pagasta pašvaldības dzīvokļu uzturēšana</t>
  </si>
  <si>
    <t>Kupravas pagasta pašvaldības dzīvokļu uzturēšana</t>
  </si>
  <si>
    <t>Apstiprināts 2026. gadam (EUR)</t>
  </si>
  <si>
    <t>Profesionālā un mūsdienīgā sociālā darba attīstība</t>
  </si>
  <si>
    <t>Bezemisiju  transportlīdzekļa iegāde Balvu novadā</t>
  </si>
  <si>
    <t>Infrastruktūra uzņēmējdarbības atbalstam Balvos</t>
  </si>
  <si>
    <t xml:space="preserve"> Infrastruktūra uzņēmējdarbības atbalstam Balvos</t>
  </si>
  <si>
    <t>Tehniskā aprīkojuma iegāde virszemes ūdeņu kvalitātes uzlabošanai</t>
  </si>
  <si>
    <t>Pašvaldības nozīmes koplietošanas
meliorācijas sistēmas novadgrāvju 
atjaunošana Lazdukalna pagasta, 
Slavītos. Nr.24-07-C0LA043P-000006</t>
  </si>
  <si>
    <t>Pašvaldības nozīmes koplietošanas
meliorācijas sistēmas novadgrāvju 
atjaunošana Lazdukalna pagasta, 
Benislavā. Nr.24-07-C0LA043P-000007</t>
  </si>
  <si>
    <t>Pašvaldības nozīmes koplietošanas
meliorācijas sistēmas novadgrāvju 
atjaunošana Lazdukalna pagasta, 
Papurnē. Nr.24-07-C0LA043P-000008</t>
  </si>
  <si>
    <t>Pašvaldības nozīmes koplietošanas
meliorācijas sistēmas novadgrāvju 
atjaunošana Rugāju pagasta, 
Kozupē. Nr.24-07-C0LA043P-000009</t>
  </si>
  <si>
    <t>Viļakas ezera pieejamības attīstība</t>
  </si>
  <si>
    <t>Projekts "Viļakas ezera pieejamības attīstība"</t>
  </si>
  <si>
    <t>Ēkas siltumapgādes sistēmas viedā vadība</t>
  </si>
  <si>
    <t>Izglītības iestāžu nodrošinājums pilnveidotā vispārējās izglītības satura kvalitatīvai ieviešanai pamata un vidējās izglītības pakāpē 3. kārta</t>
  </si>
  <si>
    <t>Projekta "Uzņēmējdarbības attīstība Austrumu pierobežā" avansa atmaksa</t>
  </si>
  <si>
    <t>Projekta "Balvu mākslas skolas ēkas energoefektivitātes paaugstināšana" avansa atmaksa</t>
  </si>
  <si>
    <t>Projekta "Siltumnīcefekta gāzu emisiju samazināšana Balvu kultūras un atpūtas centrā" neattiecināmo izmaksu atmaksa</t>
  </si>
  <si>
    <t>Pamatskolas</t>
  </si>
  <si>
    <t>Balvu Valsts ģimnāzijas Nord plus projekta "Together We Thrive"</t>
  </si>
  <si>
    <t>Erasmus + projekts "Respect Connect.Creating Safer and more Inclusive School Environments" Viļakas vidusskola</t>
  </si>
  <si>
    <t>Projekts "Atbalsts priekšlaicīgas mācību pārtraukšanas samazināšanai"</t>
  </si>
  <si>
    <t>Projekts "Pegagodu profesionālā atbalsta sistēmas izveide"</t>
  </si>
  <si>
    <t>Projekts "Skola-kopienā"</t>
  </si>
  <si>
    <t>Projekts "STEM un pilsoniskās līdzdalības norises plašākai izglītības pieredzei un karjeras izvēlei"</t>
  </si>
  <si>
    <t>Balvu profesionālās un vispārizglītojošās vidusskolas Erasmus+ projekts "Profesionālā izaugsme, motivācija un inovācijas Eiropas darba tirgū"</t>
  </si>
  <si>
    <t>ERASMUS+ projekts "Tunes of the Nature as a 'Spark' for the Change" Balvu profesionālā un vispārizglītojošā vidusskola</t>
  </si>
  <si>
    <t>Erasmus+ Projekts Nr.2025-1-LV01-KA121-SCH-000308267 Rugāju vidusskola</t>
  </si>
  <si>
    <t>Mērķdotācijas Eiropas Savienības ārējās robežas pašvaldībām</t>
  </si>
  <si>
    <t>Projekts "Pedagodu profesionālā atbalsta sistēmas izveide"</t>
  </si>
  <si>
    <t>Balvu sākumskolas Nord Plus projekts "Back to the Future: Bonding through traditions"</t>
  </si>
  <si>
    <t>Šķilbēnu pagasta ūdensapgāde</t>
  </si>
  <si>
    <t>Tilžas pagasta ūdensapgāde</t>
  </si>
  <si>
    <t>Medņevas pagasta ūdensapgāde</t>
  </si>
  <si>
    <t>Lazdulejas pagasta ūdensapgāde</t>
  </si>
  <si>
    <t>Kupravas pagasta ūdensapgāde</t>
  </si>
  <si>
    <t>Kubulu pagasta ūdensapgāde</t>
  </si>
  <si>
    <t>Briežuciema pagasta ūdensapgāde</t>
  </si>
  <si>
    <t>Bērzpils pagasta ūdensapgāde</t>
  </si>
  <si>
    <t>Bērzkalnes pagasta ūdensapgāde</t>
  </si>
  <si>
    <t>Vectilžas pagasta ūdensapgāde</t>
  </si>
  <si>
    <t>Upītes ciema ūdensapgāde</t>
  </si>
  <si>
    <t>Projekts "Valsts reģionālā autoceļa P35 Gulbene – Balvi – Viļaka – Krievijas robeža (Vientuļi) posma 17,470 – 32,397 km pārbūve - gājēju/velosipēdistu celiņa apgaismojuma ierīkošana, soliņu un viedo atkritumu urnu uzstādīšana"</t>
  </si>
  <si>
    <t>Reliģisko organizāciju atbalsts</t>
  </si>
  <si>
    <t>Valsts nodevas, kuras ieskaita pašvaldības budžetā</t>
  </si>
  <si>
    <t>Grozījumi</t>
  </si>
  <si>
    <t>KOPĀ (EUR) 2026</t>
  </si>
  <si>
    <t>Valsts dotācija programma "Latvijas Skolas soma"</t>
  </si>
  <si>
    <t>Valsts dotācija mācību līdzekļu un literatūras iegādei</t>
  </si>
  <si>
    <t>21.3.9.7.</t>
  </si>
  <si>
    <t>Budžeta iestāžu saņemtā atlīdzība no apdrošināšanas sabiedrības par bojātu nekustamo īpašumu un kustamo mantu, tai skaitā autoavārijā cietušu automašīnu</t>
  </si>
  <si>
    <t>Projekts "Telpu pielāgošana patvertņu ierīkošanai Balvu novada pašvaldības ēkās"</t>
  </si>
  <si>
    <t>Valsts dotācija 15.Saeimas vēlēšanu nodrošināšanai</t>
  </si>
  <si>
    <t>VKKF finansējums projektam "Ontona Slišāna Upītes Kultūrvēstures muzeja ekspozīcijas "Upītes kultūrtelpa"koncepcijas un satura izstrāde"</t>
  </si>
  <si>
    <t>VKKF finansējums projektam "Aigara Zemīša darba "Vīrs" iegāde"</t>
  </si>
  <si>
    <t>VKKF finansējums projektam "Lasītāji satiek savus rakstniekus 2026"</t>
  </si>
  <si>
    <t>VKKF finansējums projektam "10.starptautiskais glezniecības plenērs "Valdis Bušs 2026""</t>
  </si>
  <si>
    <t>VKKF finansējums projektam "Balvu Mākslas skolas materiāli tehniskās bāzes uzlabošana"</t>
  </si>
  <si>
    <t>VKKF finansējums projektam "Baltinavas muzeja ekspozīcijas "Baltinava laika lokos"tehniskā projekta izstrāde"</t>
  </si>
  <si>
    <t>VKKF finansējums projektam "Loginu senkapu arheoloģiskā materiāla konservācija un restaurācija"</t>
  </si>
  <si>
    <t>21.4.9.9.</t>
  </si>
  <si>
    <t>Pārējie iepriekš neklasificētie pašu ieņēmumi</t>
  </si>
  <si>
    <t>Projekts "10.starptautiskais glezniecības plenērs "Valdis Bušs 2026""</t>
  </si>
  <si>
    <t>Projekts "Grāmatniecība, lasīšanas paradumi un no kultivēšana Ziemeļlatgalē"</t>
  </si>
  <si>
    <t>Projekts "8.Starptautiskais klasiskās dramaturģijas festivāls "Ķiršu Dārzs 2026"amatierteātriem Balvos"</t>
  </si>
  <si>
    <t>Projekts "XXVII Balvu kamērmūzikas festivāls"</t>
  </si>
  <si>
    <t>10. Starptaustiskais mākslas plenērs "Valdis Bušs 2026"</t>
  </si>
  <si>
    <t>10.Starptaustiskais mākslas plenērs "Valdis Bušs 2026"</t>
  </si>
  <si>
    <t>Projekts "Balvu novada publisko ūdenstilpņu uzraudzības aprīkojuma iegāde 2026.gadā"</t>
  </si>
  <si>
    <t>Bezemisiju  transportlīdzekļu iegāde Balvu novadā</t>
  </si>
  <si>
    <t>Balvu profesionālā un vispārizglītojošā vidusskolas Erasmus+ projekts "iekļaujošā profesionālā izglītība"</t>
  </si>
  <si>
    <t>PAVISAM</t>
  </si>
  <si>
    <t>Projekts "Vides pieejamības nodrošināšana Balvu novada publisko pakalpojumu ēkās"</t>
  </si>
  <si>
    <t>VKKF finansējums projektam "100 minūtes dzejā"</t>
  </si>
  <si>
    <t>VKKF projekts "100 minūtes dzejā"</t>
  </si>
  <si>
    <t>Balvu Valsts ģimnāzijas Nord+ projekts "Shaping Tomorrow Together"</t>
  </si>
  <si>
    <t>Atgriezts projekta priekšfinansējums (Balvu Valsts ģimnāzijas atbalsta biedrība)</t>
  </si>
  <si>
    <t>Projekts "Latgales un Vidzemes pūtēju orķestru un skatuviskās dejas svētki "Skanēt savā laikā""</t>
  </si>
  <si>
    <t>Latvijas Bērnu fonds bērnu nometnes atbalstam</t>
  </si>
  <si>
    <t>1. pielikums</t>
  </si>
  <si>
    <t>2026. gada 16. jūlija saistošajiem noteikumiem Nr. 5/2026</t>
  </si>
  <si>
    <t>"Grozījumi 2026. gada 2. februāra saistošajos noteikumos Nr. 2/2026</t>
  </si>
  <si>
    <t>"Par Balvu novada pašvaldības 2026. gada budžetu""</t>
  </si>
  <si>
    <t>2026. gada  2. februāra saistošajiem noteikumiem Nr. 2/2026</t>
  </si>
  <si>
    <t>"Par Balvu novada pašvaldības 2026. gada budžetu"</t>
  </si>
  <si>
    <t>Balvu novada pašvaldības pamatbudžets 2026. gadam (EUR)</t>
  </si>
  <si>
    <r>
      <t xml:space="preserve">Balvu novada domes priekšsēdētājs </t>
    </r>
    <r>
      <rPr>
        <i/>
        <sz val="12"/>
        <color theme="1"/>
        <rFont val="Times New Roman"/>
        <family val="1"/>
        <charset val="186"/>
      </rPr>
      <t>J. Trupovnieks</t>
    </r>
  </si>
  <si>
    <t xml:space="preserve">  Pārējie 21.3.0.0. grupā neklasificētie budžeta iestāžu ieņēmumi par budžeta iestāžu sniegtajiem maksas pakalpojumiem un citi pašu ieņēmumi</t>
  </si>
  <si>
    <t>2. pielikums</t>
  </si>
  <si>
    <t>2026. gada 2. februāra saistošajiem noteikumiem Nr. 2/2026</t>
  </si>
  <si>
    <t xml:space="preserve">                    Balvu novada pašvaldības pamatbudžeta ieņēmumi 2026. gadam (EUR)</t>
  </si>
  <si>
    <t>Nekustamā īpašuma naodoklis par mājokļiem – iepriekšējo gadu parādi</t>
  </si>
  <si>
    <t>Nekustamā īpašuma nodoklis par ēkām – iepriekšējo gadu parādi</t>
  </si>
  <si>
    <t xml:space="preserve">Projekts "Remigrācijas atbalsta pasākums – uzņēmējdarbības atbalsts" </t>
  </si>
  <si>
    <t>Valsts dotācija 1.–4. klašu brīvpusdienu daļējai apmaksai</t>
  </si>
  <si>
    <t>Labklājības ministrija – izdevumu kompensācija par no vardarbības cietušu pieaugušu personu rehabilitāciju dzīvesvietā</t>
  </si>
  <si>
    <t>Labklājības ministrijas finansējums sociālajiem pakalpojumiem – atbalsts bārēņiem un bērniem ar invaliditāti</t>
  </si>
  <si>
    <t>Rekavas komunālā saimniecība – apkure</t>
  </si>
  <si>
    <t>Tilžas komunālā saimniecība – apkure</t>
  </si>
  <si>
    <t>Rekavas komunālā saimniecība – notekūdeņu apsaimniekošana</t>
  </si>
  <si>
    <t>Tilžas komunālā saimniecība – notekūdeņu apsaimniekošana</t>
  </si>
  <si>
    <t>Upītes komunālā saimniecība – notekūdeņu apsaimniekošana</t>
  </si>
  <si>
    <t>Izglītības  pārvalde – vasaras nometnes</t>
  </si>
  <si>
    <t>Rugāju vidusskolas Erasmus+ projekts Nr.2026-1-LV01-KA121-SCH-000414206</t>
  </si>
  <si>
    <t>Kupravas pagasta komunālā saimniecība – apkure</t>
  </si>
  <si>
    <t>Krišjāņu pagasta komunālā saimniecība – apkure</t>
  </si>
  <si>
    <t>Vecumu komunālā saimniecība – apkure</t>
  </si>
  <si>
    <t>Viļakas pilsētas komunālā saimniecība – apkure</t>
  </si>
  <si>
    <t>Žīguru pagasta komunālā saimniecība – apkure</t>
  </si>
  <si>
    <t>Pārējie 2.3.0.0.0. grupā neklasificētie budžeta iestāžu ieņēmumi par budžeta iestāžu sniegtajiem maksas pakalpojumiem un citi pašu ieņēmumi</t>
  </si>
  <si>
    <r>
      <t xml:space="preserve">Balvu novada domes priekšsēdētājs </t>
    </r>
    <r>
      <rPr>
        <i/>
        <sz val="14"/>
        <rFont val="Times New Roman"/>
        <family val="1"/>
        <charset val="186"/>
      </rPr>
      <t>J. Trupovnieks</t>
    </r>
  </si>
  <si>
    <t>3. pielikums</t>
  </si>
  <si>
    <t>Balvu novada pašvaldības pamatbudžeta izdevumi 2026. gadam (EUR)</t>
  </si>
  <si>
    <t>Projekts "Skola – kopienā"</t>
  </si>
  <si>
    <t xml:space="preserve">"Remigrācijas atbalsta pasākums – uzņēmējdarbības atbalsts" </t>
  </si>
  <si>
    <t>"Balvu Valsts ģimnāzijas mākslīgā seguma futbola stadiona seguma nomaiņa"</t>
  </si>
  <si>
    <t>LL-00303 projekts "Robotikas
un dronu konstruēšanas un pilotēšanas kompetenču kā sociālās iekļaušanas metodes
attīstība Latgales, Visaginas un Ignalinas pārrobežu reģionos"</t>
  </si>
  <si>
    <r>
      <t xml:space="preserve">Balvu novada domes priekšsēdētājs </t>
    </r>
    <r>
      <rPr>
        <i/>
        <sz val="11"/>
        <color theme="1"/>
        <rFont val="Calibri"/>
        <family val="2"/>
        <charset val="186"/>
        <scheme val="minor"/>
      </rPr>
      <t>J. Trupovnieks</t>
    </r>
  </si>
  <si>
    <r>
      <t xml:space="preserve">Balvu novada domes priekšsēdētājs </t>
    </r>
    <r>
      <rPr>
        <i/>
        <sz val="12"/>
        <rFont val="Times New Roman"/>
        <family val="1"/>
        <charset val="186"/>
      </rPr>
      <t>J. Trupovnieks</t>
    </r>
  </si>
  <si>
    <t>4. pielikums</t>
  </si>
  <si>
    <t>2026. gada 2. februāra  saistošajiem noteikumiem Nr. 2/2026</t>
  </si>
  <si>
    <t xml:space="preserve">                       Balvu novada pašvaldības pamatbudžeta izdevumi 2026. gadam (EUR)</t>
  </si>
  <si>
    <t>Baltinavas komunālā saimniecība – notekūdeņu apsaimniekošana</t>
  </si>
  <si>
    <t>Lazdukalna komunālā saimniecība – notekūdeņu apsaimniekošana</t>
  </si>
  <si>
    <t>Lazdulejas komunālā saimniecība – notekūdeņu apsaimniekošana</t>
  </si>
  <si>
    <t>Rugāju komunālā saimniecība – notekūdeņu apsaimniekošana</t>
  </si>
  <si>
    <t>Viļakas pilsētas komunālā saimniecība – atkritumu apsaimniekošana</t>
  </si>
  <si>
    <t xml:space="preserve"> Rekavas pagasta komunālā saimniecība – apkure</t>
  </si>
  <si>
    <t>Tilžas pagasta komunālā saimniecība – apkure</t>
  </si>
  <si>
    <t>Vecumu pagasta komunālā saimniecība – apkure</t>
  </si>
  <si>
    <t>Nemateriālās kultūras mantojuma centrs "Upīte" – tautas nams</t>
  </si>
  <si>
    <t>Nemateriālās kultūras mantojuma centrs "Upīte" – bibliotēka</t>
  </si>
  <si>
    <t>Nemateriālās kultūras mantojuma centrs "Upīte" – muzejs</t>
  </si>
  <si>
    <t>Bērzkalnes komunālā saimniecība – notekūdeņu apsaimniekošana</t>
  </si>
  <si>
    <t>Bērzpils komunālā saimniecība – notekūdeņu apsaimniekošana</t>
  </si>
  <si>
    <t>Briežuciema komunālā saimniecība – notekūdeņu apsaimniekošana</t>
  </si>
  <si>
    <t>Krišjāņu komunālā saimniecība – notekūdeņu apsaimniekošana</t>
  </si>
  <si>
    <t>Kubulu komunālā saimniecība – notekūdeņu apsaimniekošana</t>
  </si>
  <si>
    <t>Kupravas komunālā saimniecība – notekūdeņu apsaimniekošana</t>
  </si>
  <si>
    <t>Medņevas komunālā saimniecība – notekūdeņu apsaimniekošana</t>
  </si>
  <si>
    <t>Vecumu komunālā saimniecība – notekūdeņu apsaimniekošana</t>
  </si>
  <si>
    <t>Viļakas pilsētas komunālā saimniecība – notekūdenu apsaimniekošana</t>
  </si>
  <si>
    <t>Vīksnas komunālā saimniecība – notekūdeņu apsaimniekošana</t>
  </si>
  <si>
    <t>Žīguru komunālā saimniecība – notekūdeņu apsaimniekošana</t>
  </si>
  <si>
    <t>LL-00303 "Robotikas
un dronu konstruēšanas un pilotēšanas kompetenču kā sociālās iekļaušanas metodes
attīstība Latgales, Visaginas un Ignalinas pārrobežu reģionos"</t>
  </si>
  <si>
    <t>Balvu valsts ģimnāzijas projekts "Our Baltic Sea" NPJR-2024/10114</t>
  </si>
  <si>
    <t>Projekts "Valsts reģionālā autoceļa P35 Gulbene–Balvi–Viļaka–Krievijas robeža (Vientuļi) posma 17,470 – 32,397 km pārbūve – gājēju/velosipēdistu celiņa apgaismojuma ierīkošana, soliņu un viedo atkritumu urnu uzstādīšana"</t>
  </si>
  <si>
    <t>VKKF finansējums projektam "Baltinavas muzeja ekspozīcijas "Baltinava laika lokos" tehniskā projekta izstrāde"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</si>
</sst>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0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u/>
      <sz val="12"/>
      <color indexed="8"/>
      <name val="Times New Roman"/>
      <family val="1"/>
      <charset val="186"/>
    </font>
    <font>
      <b/>
      <sz val="12"/>
      <color rgb="FF7030A0"/>
      <name val="Times New Roman"/>
      <family val="1"/>
      <charset val="186"/>
    </font>
    <font>
      <b/>
      <sz val="12"/>
      <color indexed="10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i/>
      <sz val="12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  <font>
      <sz val="14"/>
      <name val="Times New Roman"/>
      <family val="1"/>
      <charset val="186"/>
    </font>
    <font>
      <sz val="12"/>
      <color rgb="FF00B0F0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14"/>
      <color indexed="8"/>
      <name val="Times New Roman"/>
      <family val="1"/>
      <charset val="186"/>
    </font>
    <font>
      <b/>
      <sz val="14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i/>
      <sz val="12"/>
      <color theme="1"/>
      <name val="Times New Roman"/>
      <family val="1"/>
      <charset val="186"/>
    </font>
    <font>
      <i/>
      <sz val="14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26" fillId="0" borderId="0" applyFont="0" applyFill="0" applyBorder="0" applyAlignment="0" applyProtection="0"/>
  </cellStyleXfs>
  <cellXfs count="212">
    <xf numFmtId="0" fontId="0" fillId="0" borderId="0" xfId="0"/>
    <xf numFmtId="0" fontId="10" fillId="0" borderId="1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/>
    <xf numFmtId="0" fontId="9" fillId="0" borderId="0" xfId="0" applyFont="1"/>
    <xf numFmtId="0" fontId="12" fillId="0" borderId="0" xfId="0" applyFont="1"/>
    <xf numFmtId="0" fontId="12" fillId="2" borderId="0" xfId="0" applyFont="1" applyFill="1"/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wrapText="1"/>
      <protection locked="0"/>
    </xf>
    <xf numFmtId="0" fontId="11" fillId="0" borderId="1" xfId="0" applyFont="1" applyBorder="1" applyAlignment="1" applyProtection="1">
      <alignment horizontal="left" wrapText="1"/>
      <protection locked="0"/>
    </xf>
    <xf numFmtId="3" fontId="11" fillId="2" borderId="1" xfId="0" applyNumberFormat="1" applyFont="1" applyFill="1" applyBorder="1" applyAlignment="1" applyProtection="1">
      <alignment horizontal="center" wrapText="1"/>
      <protection locked="0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 applyProtection="1">
      <alignment horizontal="left" wrapText="1"/>
      <protection locked="0"/>
    </xf>
    <xf numFmtId="0" fontId="12" fillId="0" borderId="1" xfId="0" applyFont="1" applyBorder="1" applyAlignment="1" applyProtection="1">
      <alignment horizontal="center" wrapText="1"/>
      <protection locked="0"/>
    </xf>
    <xf numFmtId="3" fontId="12" fillId="2" borderId="1" xfId="0" applyNumberFormat="1" applyFont="1" applyFill="1" applyBorder="1" applyAlignment="1" applyProtection="1">
      <alignment horizontal="center" wrapText="1"/>
      <protection locked="0"/>
    </xf>
    <xf numFmtId="0" fontId="11" fillId="0" borderId="1" xfId="0" applyFont="1" applyBorder="1" applyAlignment="1">
      <alignment horizontal="left" wrapText="1"/>
    </xf>
    <xf numFmtId="3" fontId="11" fillId="2" borderId="1" xfId="0" applyNumberFormat="1" applyFont="1" applyFill="1" applyBorder="1" applyAlignment="1">
      <alignment horizontal="center" wrapText="1"/>
    </xf>
    <xf numFmtId="0" fontId="12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center" wrapText="1"/>
    </xf>
    <xf numFmtId="3" fontId="12" fillId="2" borderId="1" xfId="0" applyNumberFormat="1" applyFont="1" applyFill="1" applyBorder="1" applyAlignment="1">
      <alignment horizontal="center" wrapText="1"/>
    </xf>
    <xf numFmtId="49" fontId="12" fillId="0" borderId="5" xfId="0" applyNumberFormat="1" applyFont="1" applyBorder="1" applyAlignment="1">
      <alignment horizontal="left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3" fontId="11" fillId="2" borderId="1" xfId="0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12" fillId="0" borderId="1" xfId="0" applyFont="1" applyBorder="1"/>
    <xf numFmtId="3" fontId="12" fillId="2" borderId="1" xfId="0" applyNumberFormat="1" applyFont="1" applyFill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3" fillId="0" borderId="0" xfId="0" applyFont="1"/>
    <xf numFmtId="3" fontId="2" fillId="2" borderId="1" xfId="0" applyNumberFormat="1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0" fillId="0" borderId="1" xfId="0" applyBorder="1"/>
    <xf numFmtId="2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43" fontId="2" fillId="0" borderId="1" xfId="1" applyFont="1" applyFill="1" applyBorder="1" applyAlignment="1">
      <alignment horizontal="center" vertical="top"/>
    </xf>
    <xf numFmtId="0" fontId="18" fillId="0" borderId="0" xfId="0" applyFont="1"/>
    <xf numFmtId="3" fontId="0" fillId="0" borderId="0" xfId="0" applyNumberFormat="1"/>
    <xf numFmtId="0" fontId="8" fillId="0" borderId="0" xfId="0" applyFont="1"/>
    <xf numFmtId="0" fontId="21" fillId="0" borderId="0" xfId="0" applyFont="1"/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top"/>
    </xf>
    <xf numFmtId="0" fontId="16" fillId="0" borderId="0" xfId="0" applyFont="1"/>
    <xf numFmtId="0" fontId="19" fillId="0" borderId="0" xfId="0" applyFont="1"/>
    <xf numFmtId="0" fontId="20" fillId="0" borderId="0" xfId="0" applyFont="1"/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/>
    <xf numFmtId="0" fontId="10" fillId="2" borderId="1" xfId="0" applyFont="1" applyFill="1" applyBorder="1"/>
    <xf numFmtId="0" fontId="10" fillId="2" borderId="1" xfId="0" applyFont="1" applyFill="1" applyBorder="1" applyAlignment="1">
      <alignment wrapText="1"/>
    </xf>
    <xf numFmtId="3" fontId="10" fillId="2" borderId="1" xfId="0" applyNumberFormat="1" applyFont="1" applyFill="1" applyBorder="1"/>
    <xf numFmtId="3" fontId="8" fillId="2" borderId="1" xfId="0" applyNumberFormat="1" applyFont="1" applyFill="1" applyBorder="1"/>
    <xf numFmtId="3" fontId="18" fillId="0" borderId="0" xfId="0" applyNumberFormat="1" applyFont="1"/>
    <xf numFmtId="0" fontId="8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vertical="center" wrapText="1"/>
    </xf>
    <xf numFmtId="3" fontId="17" fillId="2" borderId="1" xfId="0" applyNumberFormat="1" applyFont="1" applyFill="1" applyBorder="1"/>
    <xf numFmtId="0" fontId="7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right"/>
    </xf>
    <xf numFmtId="0" fontId="1" fillId="2" borderId="0" xfId="0" applyFont="1" applyFill="1"/>
    <xf numFmtId="1" fontId="1" fillId="2" borderId="0" xfId="0" applyNumberFormat="1" applyFont="1" applyFill="1"/>
    <xf numFmtId="0" fontId="18" fillId="2" borderId="0" xfId="0" applyFont="1" applyFill="1"/>
    <xf numFmtId="0" fontId="10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right"/>
    </xf>
    <xf numFmtId="0" fontId="10" fillId="2" borderId="1" xfId="0" applyFont="1" applyFill="1" applyBorder="1" applyAlignment="1">
      <alignment horizontal="left"/>
    </xf>
    <xf numFmtId="0" fontId="17" fillId="2" borderId="1" xfId="0" applyFont="1" applyFill="1" applyBorder="1"/>
    <xf numFmtId="49" fontId="10" fillId="2" borderId="1" xfId="0" applyNumberFormat="1" applyFont="1" applyFill="1" applyBorder="1"/>
    <xf numFmtId="3" fontId="8" fillId="2" borderId="1" xfId="0" applyNumberFormat="1" applyFont="1" applyFill="1" applyBorder="1" applyAlignment="1">
      <alignment horizontal="right"/>
    </xf>
    <xf numFmtId="3" fontId="12" fillId="0" borderId="0" xfId="0" applyNumberFormat="1" applyFont="1"/>
    <xf numFmtId="0" fontId="8" fillId="2" borderId="0" xfId="0" applyFont="1" applyFill="1" applyAlignment="1">
      <alignment wrapText="1"/>
    </xf>
    <xf numFmtId="0" fontId="8" fillId="2" borderId="1" xfId="0" applyFont="1" applyFill="1" applyBorder="1" applyAlignment="1">
      <alignment vertical="top" wrapText="1"/>
    </xf>
    <xf numFmtId="0" fontId="1" fillId="2" borderId="0" xfId="0" applyFont="1" applyFill="1" applyAlignment="1">
      <alignment horizontal="center"/>
    </xf>
    <xf numFmtId="3" fontId="10" fillId="2" borderId="6" xfId="0" applyNumberFormat="1" applyFont="1" applyFill="1" applyBorder="1"/>
    <xf numFmtId="3" fontId="8" fillId="2" borderId="6" xfId="0" applyNumberFormat="1" applyFont="1" applyFill="1" applyBorder="1"/>
    <xf numFmtId="3" fontId="17" fillId="2" borderId="6" xfId="0" applyNumberFormat="1" applyFont="1" applyFill="1" applyBorder="1"/>
    <xf numFmtId="0" fontId="5" fillId="0" borderId="0" xfId="0" applyFont="1"/>
    <xf numFmtId="0" fontId="5" fillId="0" borderId="2" xfId="0" applyFont="1" applyBorder="1"/>
    <xf numFmtId="3" fontId="8" fillId="2" borderId="1" xfId="0" applyNumberFormat="1" applyFont="1" applyFill="1" applyBorder="1" applyAlignment="1">
      <alignment horizontal="right" wrapText="1"/>
    </xf>
    <xf numFmtId="3" fontId="2" fillId="0" borderId="0" xfId="0" applyNumberFormat="1" applyFont="1" applyAlignment="1">
      <alignment horizontal="center"/>
    </xf>
    <xf numFmtId="0" fontId="8" fillId="2" borderId="0" xfId="0" applyFont="1" applyFill="1" applyAlignment="1">
      <alignment horizontal="right"/>
    </xf>
    <xf numFmtId="0" fontId="0" fillId="2" borderId="0" xfId="0" applyFill="1" applyAlignment="1">
      <alignment horizontal="center"/>
    </xf>
    <xf numFmtId="0" fontId="5" fillId="2" borderId="0" xfId="0" applyFont="1" applyFill="1"/>
    <xf numFmtId="0" fontId="5" fillId="2" borderId="2" xfId="0" applyFont="1" applyFill="1" applyBorder="1"/>
    <xf numFmtId="0" fontId="5" fillId="2" borderId="0" xfId="0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8" fillId="2" borderId="0" xfId="0" applyFont="1" applyFill="1"/>
    <xf numFmtId="0" fontId="10" fillId="2" borderId="0" xfId="0" applyFont="1" applyFill="1" applyAlignment="1">
      <alignment horizontal="center"/>
    </xf>
    <xf numFmtId="0" fontId="7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vertical="top" wrapText="1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wrapText="1"/>
    </xf>
    <xf numFmtId="0" fontId="7" fillId="2" borderId="9" xfId="0" applyFont="1" applyFill="1" applyBorder="1" applyAlignment="1">
      <alignment vertical="center" wrapText="1"/>
    </xf>
    <xf numFmtId="0" fontId="9" fillId="2" borderId="0" xfId="0" applyFont="1" applyFill="1"/>
    <xf numFmtId="0" fontId="4" fillId="0" borderId="0" xfId="0" applyFont="1"/>
    <xf numFmtId="0" fontId="8" fillId="0" borderId="1" xfId="0" applyFont="1" applyBorder="1"/>
    <xf numFmtId="0" fontId="2" fillId="2" borderId="1" xfId="0" applyFont="1" applyFill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2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right" wrapText="1"/>
    </xf>
    <xf numFmtId="0" fontId="6" fillId="2" borderId="1" xfId="0" applyFont="1" applyFill="1" applyBorder="1" applyAlignment="1">
      <alignment horizontal="center" vertical="top" wrapText="1"/>
    </xf>
    <xf numFmtId="3" fontId="8" fillId="2" borderId="0" xfId="0" applyNumberFormat="1" applyFont="1" applyFill="1" applyAlignment="1">
      <alignment horizontal="center"/>
    </xf>
    <xf numFmtId="0" fontId="25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left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top" wrapText="1"/>
    </xf>
    <xf numFmtId="3" fontId="10" fillId="2" borderId="1" xfId="0" applyNumberFormat="1" applyFont="1" applyFill="1" applyBorder="1" applyAlignment="1">
      <alignment horizontal="right" wrapText="1"/>
    </xf>
    <xf numFmtId="3" fontId="10" fillId="2" borderId="1" xfId="0" applyNumberFormat="1" applyFont="1" applyFill="1" applyBorder="1" applyAlignment="1">
      <alignment horizontal="right"/>
    </xf>
    <xf numFmtId="3" fontId="8" fillId="0" borderId="1" xfId="0" applyNumberFormat="1" applyFont="1" applyBorder="1"/>
    <xf numFmtId="0" fontId="10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8" fillId="4" borderId="1" xfId="0" applyNumberFormat="1" applyFont="1" applyFill="1" applyBorder="1" applyAlignment="1">
      <alignment horizontal="center" vertical="center" wrapText="1"/>
    </xf>
    <xf numFmtId="1" fontId="8" fillId="5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3" fontId="23" fillId="0" borderId="1" xfId="0" applyNumberFormat="1" applyFont="1" applyBorder="1" applyAlignment="1">
      <alignment horizontal="center" wrapText="1"/>
    </xf>
    <xf numFmtId="3" fontId="8" fillId="3" borderId="1" xfId="0" applyNumberFormat="1" applyFont="1" applyFill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8" fillId="4" borderId="1" xfId="0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/>
    </xf>
    <xf numFmtId="3" fontId="8" fillId="5" borderId="1" xfId="0" applyNumberFormat="1" applyFont="1" applyFill="1" applyBorder="1" applyAlignment="1">
      <alignment horizontal="center"/>
    </xf>
    <xf numFmtId="0" fontId="23" fillId="6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wrapText="1"/>
    </xf>
    <xf numFmtId="3" fontId="8" fillId="5" borderId="1" xfId="0" applyNumberFormat="1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/>
    </xf>
    <xf numFmtId="3" fontId="22" fillId="0" borderId="1" xfId="0" applyNumberFormat="1" applyFont="1" applyBorder="1" applyAlignment="1">
      <alignment horizontal="center"/>
    </xf>
    <xf numFmtId="3" fontId="10" fillId="2" borderId="1" xfId="0" applyNumberFormat="1" applyFont="1" applyFill="1" applyBorder="1" applyAlignment="1">
      <alignment horizontal="center"/>
    </xf>
    <xf numFmtId="3" fontId="10" fillId="0" borderId="1" xfId="0" applyNumberFormat="1" applyFont="1" applyBorder="1" applyAlignment="1">
      <alignment horizontal="center" wrapText="1"/>
    </xf>
    <xf numFmtId="3" fontId="10" fillId="5" borderId="1" xfId="0" applyNumberFormat="1" applyFont="1" applyFill="1" applyBorder="1" applyAlignment="1">
      <alignment horizontal="center"/>
    </xf>
    <xf numFmtId="3" fontId="10" fillId="3" borderId="1" xfId="0" applyNumberFormat="1" applyFont="1" applyFill="1" applyBorder="1" applyAlignment="1">
      <alignment horizontal="center"/>
    </xf>
    <xf numFmtId="3" fontId="10" fillId="4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1" fontId="8" fillId="0" borderId="0" xfId="0" applyNumberFormat="1" applyFont="1"/>
    <xf numFmtId="3" fontId="2" fillId="0" borderId="1" xfId="0" applyNumberFormat="1" applyFont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3" fontId="2" fillId="5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10" fillId="2" borderId="0" xfId="0" applyFont="1" applyFill="1" applyAlignment="1">
      <alignment vertical="center"/>
    </xf>
    <xf numFmtId="3" fontId="10" fillId="0" borderId="0" xfId="0" applyNumberFormat="1" applyFont="1" applyAlignment="1">
      <alignment horizontal="center" vertical="top"/>
    </xf>
    <xf numFmtId="1" fontId="10" fillId="0" borderId="0" xfId="0" applyNumberFormat="1" applyFont="1" applyAlignment="1">
      <alignment horizontal="center" vertical="top"/>
    </xf>
    <xf numFmtId="1" fontId="10" fillId="0" borderId="0" xfId="0" applyNumberFormat="1" applyFont="1" applyAlignment="1">
      <alignment horizontal="center" vertical="top" wrapText="1"/>
    </xf>
    <xf numFmtId="1" fontId="10" fillId="2" borderId="0" xfId="0" applyNumberFormat="1" applyFont="1" applyFill="1" applyAlignment="1">
      <alignment horizontal="center" vertical="top" wrapText="1"/>
    </xf>
    <xf numFmtId="1" fontId="10" fillId="2" borderId="0" xfId="0" applyNumberFormat="1" applyFont="1" applyFill="1" applyAlignment="1">
      <alignment horizontal="center" vertical="top"/>
    </xf>
    <xf numFmtId="0" fontId="8" fillId="2" borderId="0" xfId="0" applyFont="1" applyFill="1" applyAlignment="1">
      <alignment vertical="center"/>
    </xf>
    <xf numFmtId="1" fontId="8" fillId="0" borderId="0" xfId="0" applyNumberFormat="1" applyFont="1" applyAlignment="1">
      <alignment horizontal="center"/>
    </xf>
    <xf numFmtId="1" fontId="8" fillId="2" borderId="0" xfId="0" applyNumberFormat="1" applyFont="1" applyFill="1" applyAlignment="1">
      <alignment horizontal="center"/>
    </xf>
    <xf numFmtId="3" fontId="17" fillId="2" borderId="0" xfId="0" applyNumberFormat="1" applyFont="1" applyFill="1" applyAlignment="1">
      <alignment horizontal="center"/>
    </xf>
    <xf numFmtId="3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12" fillId="0" borderId="1" xfId="0" applyNumberFormat="1" applyFont="1" applyBorder="1" applyAlignment="1" applyProtection="1">
      <alignment horizontal="center" wrapText="1"/>
      <protection locked="0"/>
    </xf>
    <xf numFmtId="3" fontId="12" fillId="0" borderId="1" xfId="0" applyNumberFormat="1" applyFont="1" applyBorder="1" applyAlignment="1">
      <alignment horizont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9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center"/>
    </xf>
    <xf numFmtId="3" fontId="11" fillId="0" borderId="1" xfId="0" applyNumberFormat="1" applyFont="1" applyBorder="1" applyAlignment="1">
      <alignment horizontal="center" wrapText="1"/>
    </xf>
    <xf numFmtId="3" fontId="12" fillId="0" borderId="1" xfId="0" applyNumberFormat="1" applyFont="1" applyBorder="1" applyAlignment="1">
      <alignment horizontal="center"/>
    </xf>
    <xf numFmtId="3" fontId="8" fillId="0" borderId="6" xfId="0" applyNumberFormat="1" applyFont="1" applyBorder="1"/>
    <xf numFmtId="0" fontId="23" fillId="2" borderId="1" xfId="0" applyFont="1" applyFill="1" applyBorder="1" applyAlignment="1">
      <alignment horizontal="center" vertical="top" wrapText="1"/>
    </xf>
    <xf numFmtId="0" fontId="23" fillId="2" borderId="1" xfId="0" applyFont="1" applyFill="1" applyBorder="1" applyAlignment="1">
      <alignment horizontal="center" wrapText="1"/>
    </xf>
    <xf numFmtId="0" fontId="23" fillId="0" borderId="1" xfId="0" applyFont="1" applyBorder="1" applyAlignment="1">
      <alignment horizontal="center" vertical="top" wrapText="1"/>
    </xf>
    <xf numFmtId="3" fontId="17" fillId="0" borderId="6" xfId="0" applyNumberFormat="1" applyFont="1" applyBorder="1"/>
    <xf numFmtId="3" fontId="17" fillId="0" borderId="1" xfId="0" applyNumberFormat="1" applyFont="1" applyBorder="1"/>
    <xf numFmtId="3" fontId="10" fillId="0" borderId="1" xfId="0" applyNumberFormat="1" applyFont="1" applyBorder="1"/>
    <xf numFmtId="3" fontId="10" fillId="0" borderId="6" xfId="0" applyNumberFormat="1" applyFont="1" applyBorder="1"/>
    <xf numFmtId="0" fontId="1" fillId="0" borderId="0" xfId="0" applyFont="1" applyAlignment="1">
      <alignment horizontal="right" wrapText="1"/>
    </xf>
    <xf numFmtId="0" fontId="2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8" fillId="2" borderId="0" xfId="0" applyFont="1" applyFill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apa1"/>
  <dimension ref="A1:K77"/>
  <sheetViews>
    <sheetView topLeftCell="A70" workbookViewId="0">
      <selection activeCell="A42" sqref="A42"/>
    </sheetView>
  </sheetViews>
  <sheetFormatPr defaultColWidth="9.109375" defaultRowHeight="15.6" x14ac:dyDescent="0.3"/>
  <cols>
    <col min="1" max="1" width="65.6640625" style="23" customWidth="1"/>
    <col min="2" max="2" width="13.88671875" style="23" customWidth="1"/>
    <col min="3" max="3" width="13.88671875" style="195" customWidth="1"/>
    <col min="4" max="5" width="13.88671875" style="23" customWidth="1"/>
    <col min="6" max="6" width="12.109375" style="23" customWidth="1"/>
    <col min="7" max="16384" width="9.109375" style="23"/>
  </cols>
  <sheetData>
    <row r="1" spans="1:11" x14ac:dyDescent="0.3">
      <c r="E1" s="101" t="s">
        <v>758</v>
      </c>
    </row>
    <row r="2" spans="1:11" x14ac:dyDescent="0.3">
      <c r="E2" s="101" t="s">
        <v>543</v>
      </c>
    </row>
    <row r="3" spans="1:11" x14ac:dyDescent="0.3">
      <c r="E3" s="101" t="s">
        <v>759</v>
      </c>
    </row>
    <row r="4" spans="1:11" x14ac:dyDescent="0.3">
      <c r="E4" s="101" t="s">
        <v>760</v>
      </c>
    </row>
    <row r="5" spans="1:11" x14ac:dyDescent="0.3">
      <c r="E5" s="101" t="s">
        <v>761</v>
      </c>
    </row>
    <row r="6" spans="1:11" x14ac:dyDescent="0.3">
      <c r="A6" s="22"/>
      <c r="E6" s="22"/>
      <c r="F6" s="24"/>
      <c r="G6" s="24"/>
      <c r="H6" s="24"/>
    </row>
    <row r="7" spans="1:11" x14ac:dyDescent="0.3">
      <c r="A7" s="22"/>
      <c r="E7" s="80" t="s">
        <v>758</v>
      </c>
      <c r="F7" s="24"/>
      <c r="G7" s="24"/>
      <c r="H7" s="24"/>
    </row>
    <row r="8" spans="1:11" x14ac:dyDescent="0.3">
      <c r="A8" s="22"/>
      <c r="E8" s="80" t="s">
        <v>543</v>
      </c>
      <c r="F8" s="24"/>
      <c r="G8" s="24"/>
      <c r="H8" s="24"/>
      <c r="I8" s="22"/>
      <c r="J8" s="22"/>
      <c r="K8" s="22"/>
    </row>
    <row r="9" spans="1:11" x14ac:dyDescent="0.3">
      <c r="A9" s="22"/>
      <c r="B9" s="21"/>
      <c r="C9" s="196"/>
      <c r="D9" s="21"/>
      <c r="E9" s="80" t="s">
        <v>762</v>
      </c>
      <c r="F9" s="24"/>
      <c r="G9" s="24"/>
      <c r="H9" s="24"/>
    </row>
    <row r="10" spans="1:11" s="24" customFormat="1" ht="15" customHeight="1" x14ac:dyDescent="0.3">
      <c r="C10" s="197"/>
      <c r="E10" s="80" t="s">
        <v>763</v>
      </c>
    </row>
    <row r="11" spans="1:11" s="24" customFormat="1" ht="15" customHeight="1" x14ac:dyDescent="0.3">
      <c r="C11" s="197"/>
      <c r="E11" s="93"/>
    </row>
    <row r="12" spans="1:11" s="24" customFormat="1" ht="15" customHeight="1" x14ac:dyDescent="0.3">
      <c r="A12" s="10" t="s">
        <v>764</v>
      </c>
      <c r="B12" s="10"/>
      <c r="C12" s="10"/>
      <c r="D12" s="10"/>
      <c r="E12" s="10"/>
    </row>
    <row r="13" spans="1:11" s="24" customFormat="1" ht="15" customHeight="1" x14ac:dyDescent="0.3">
      <c r="C13" s="197"/>
      <c r="E13" s="25"/>
    </row>
    <row r="14" spans="1:11" s="24" customFormat="1" ht="52.5" customHeight="1" x14ac:dyDescent="0.3">
      <c r="A14" s="26" t="s">
        <v>417</v>
      </c>
      <c r="B14" s="26" t="s">
        <v>418</v>
      </c>
      <c r="C14" s="191" t="s">
        <v>680</v>
      </c>
      <c r="D14" s="26" t="s">
        <v>724</v>
      </c>
      <c r="E14" s="27" t="s">
        <v>680</v>
      </c>
    </row>
    <row r="15" spans="1:11" s="24" customFormat="1" ht="30" customHeight="1" x14ac:dyDescent="0.3">
      <c r="A15" s="28" t="s">
        <v>419</v>
      </c>
      <c r="B15" s="29"/>
      <c r="C15" s="30">
        <f>C16+C18+C20+C24+C27+C29+C31+C34+C36+C38+C40+C22</f>
        <v>40531159</v>
      </c>
      <c r="D15" s="30">
        <f>E15-C15</f>
        <v>611837</v>
      </c>
      <c r="E15" s="30">
        <f>E16+E18+E20+E24+E27+E29+E31+E34+E36+E38+E40+E22</f>
        <v>41142996</v>
      </c>
    </row>
    <row r="16" spans="1:11" s="31" customFormat="1" ht="15" customHeight="1" x14ac:dyDescent="0.3">
      <c r="A16" s="29" t="s">
        <v>235</v>
      </c>
      <c r="B16" s="29" t="s">
        <v>234</v>
      </c>
      <c r="C16" s="30">
        <f t="shared" ref="C16" si="0">C17</f>
        <v>12315460</v>
      </c>
      <c r="D16" s="30">
        <f t="shared" ref="D16:D74" si="1">E16-C16</f>
        <v>-273820</v>
      </c>
      <c r="E16" s="30">
        <f>E17</f>
        <v>12041640</v>
      </c>
    </row>
    <row r="17" spans="1:5" s="24" customFormat="1" ht="15" customHeight="1" x14ac:dyDescent="0.3">
      <c r="A17" s="32" t="s">
        <v>420</v>
      </c>
      <c r="B17" s="33" t="s">
        <v>421</v>
      </c>
      <c r="C17" s="192">
        <v>12315460</v>
      </c>
      <c r="D17" s="34">
        <f t="shared" si="1"/>
        <v>-273820</v>
      </c>
      <c r="E17" s="34">
        <f>'2.pielikums'!G19</f>
        <v>12041640</v>
      </c>
    </row>
    <row r="18" spans="1:5" s="24" customFormat="1" ht="15" customHeight="1" x14ac:dyDescent="0.3">
      <c r="A18" s="35" t="s">
        <v>240</v>
      </c>
      <c r="B18" s="35" t="s">
        <v>239</v>
      </c>
      <c r="C18" s="36">
        <f t="shared" ref="C18" si="2">C19</f>
        <v>1131791</v>
      </c>
      <c r="D18" s="30">
        <f t="shared" si="1"/>
        <v>0</v>
      </c>
      <c r="E18" s="36">
        <f>E19</f>
        <v>1131791</v>
      </c>
    </row>
    <row r="19" spans="1:5" s="24" customFormat="1" ht="15" customHeight="1" x14ac:dyDescent="0.3">
      <c r="A19" s="37" t="s">
        <v>422</v>
      </c>
      <c r="B19" s="38" t="s">
        <v>423</v>
      </c>
      <c r="C19" s="193">
        <v>1131791</v>
      </c>
      <c r="D19" s="34">
        <f t="shared" si="1"/>
        <v>0</v>
      </c>
      <c r="E19" s="39">
        <f>'2.pielikums'!G22</f>
        <v>1131791</v>
      </c>
    </row>
    <row r="20" spans="1:5" s="24" customFormat="1" ht="15" customHeight="1" x14ac:dyDescent="0.3">
      <c r="A20" s="35" t="s">
        <v>424</v>
      </c>
      <c r="B20" s="35" t="s">
        <v>260</v>
      </c>
      <c r="C20" s="36">
        <f t="shared" ref="C20" si="3">C21</f>
        <v>58000</v>
      </c>
      <c r="D20" s="30">
        <f t="shared" si="1"/>
        <v>0</v>
      </c>
      <c r="E20" s="36">
        <f>E21</f>
        <v>58000</v>
      </c>
    </row>
    <row r="21" spans="1:5" s="24" customFormat="1" ht="15" customHeight="1" x14ac:dyDescent="0.3">
      <c r="A21" s="37" t="s">
        <v>425</v>
      </c>
      <c r="B21" s="38" t="s">
        <v>426</v>
      </c>
      <c r="C21" s="193">
        <v>58000</v>
      </c>
      <c r="D21" s="34">
        <f t="shared" si="1"/>
        <v>0</v>
      </c>
      <c r="E21" s="39">
        <f>'2.pielikums'!G33</f>
        <v>58000</v>
      </c>
    </row>
    <row r="22" spans="1:5" s="24" customFormat="1" ht="15" customHeight="1" x14ac:dyDescent="0.3">
      <c r="A22" s="35" t="s">
        <v>427</v>
      </c>
      <c r="B22" s="35" t="s">
        <v>271</v>
      </c>
      <c r="C22" s="36">
        <f t="shared" ref="C22" si="4">C23</f>
        <v>10000</v>
      </c>
      <c r="D22" s="30">
        <f t="shared" si="1"/>
        <v>0</v>
      </c>
      <c r="E22" s="36">
        <f>E23</f>
        <v>10000</v>
      </c>
    </row>
    <row r="23" spans="1:5" s="24" customFormat="1" ht="30" customHeight="1" x14ac:dyDescent="0.3">
      <c r="A23" s="37" t="s">
        <v>274</v>
      </c>
      <c r="B23" s="38" t="s">
        <v>273</v>
      </c>
      <c r="C23" s="193">
        <v>10000</v>
      </c>
      <c r="D23" s="34">
        <f t="shared" si="1"/>
        <v>0</v>
      </c>
      <c r="E23" s="39">
        <f>'2.pielikums'!G40</f>
        <v>10000</v>
      </c>
    </row>
    <row r="24" spans="1:5" s="24" customFormat="1" ht="15" customHeight="1" x14ac:dyDescent="0.3">
      <c r="A24" s="35" t="s">
        <v>276</v>
      </c>
      <c r="B24" s="35" t="s">
        <v>275</v>
      </c>
      <c r="C24" s="36">
        <f t="shared" ref="C24" si="5">C25+C26</f>
        <v>16585</v>
      </c>
      <c r="D24" s="30">
        <f t="shared" si="1"/>
        <v>0</v>
      </c>
      <c r="E24" s="36">
        <f>E25+E26</f>
        <v>16585</v>
      </c>
    </row>
    <row r="25" spans="1:5" s="24" customFormat="1" ht="15" customHeight="1" x14ac:dyDescent="0.3">
      <c r="A25" s="37" t="s">
        <v>428</v>
      </c>
      <c r="B25" s="38" t="s">
        <v>429</v>
      </c>
      <c r="C25" s="193">
        <v>12185</v>
      </c>
      <c r="D25" s="34">
        <f t="shared" si="1"/>
        <v>0</v>
      </c>
      <c r="E25" s="39">
        <f>'2.pielikums'!G42</f>
        <v>12185</v>
      </c>
    </row>
    <row r="26" spans="1:5" s="24" customFormat="1" ht="15" customHeight="1" x14ac:dyDescent="0.3">
      <c r="A26" s="37" t="s">
        <v>430</v>
      </c>
      <c r="B26" s="38" t="s">
        <v>431</v>
      </c>
      <c r="C26" s="193">
        <v>4400</v>
      </c>
      <c r="D26" s="34">
        <f t="shared" si="1"/>
        <v>0</v>
      </c>
      <c r="E26" s="39">
        <f>'2.pielikums'!G49</f>
        <v>4400</v>
      </c>
    </row>
    <row r="27" spans="1:5" s="24" customFormat="1" ht="15" customHeight="1" x14ac:dyDescent="0.3">
      <c r="A27" s="35" t="s">
        <v>299</v>
      </c>
      <c r="B27" s="35" t="s">
        <v>298</v>
      </c>
      <c r="C27" s="36">
        <f t="shared" ref="C27" si="6">C28</f>
        <v>2500</v>
      </c>
      <c r="D27" s="30">
        <f t="shared" si="1"/>
        <v>3000</v>
      </c>
      <c r="E27" s="36">
        <f>E28</f>
        <v>5500</v>
      </c>
    </row>
    <row r="28" spans="1:5" s="24" customFormat="1" ht="15" customHeight="1" x14ac:dyDescent="0.3">
      <c r="A28" s="37" t="s">
        <v>432</v>
      </c>
      <c r="B28" s="38" t="s">
        <v>433</v>
      </c>
      <c r="C28" s="193">
        <v>2500</v>
      </c>
      <c r="D28" s="34">
        <f t="shared" si="1"/>
        <v>3000</v>
      </c>
      <c r="E28" s="39">
        <f>'2.pielikums'!G55</f>
        <v>5500</v>
      </c>
    </row>
    <row r="29" spans="1:5" s="24" customFormat="1" ht="15" customHeight="1" x14ac:dyDescent="0.3">
      <c r="A29" s="35" t="s">
        <v>307</v>
      </c>
      <c r="B29" s="35" t="s">
        <v>306</v>
      </c>
      <c r="C29" s="36">
        <f t="shared" ref="C29" si="7">C30</f>
        <v>36433</v>
      </c>
      <c r="D29" s="30">
        <f t="shared" si="1"/>
        <v>1124</v>
      </c>
      <c r="E29" s="36">
        <f>E30</f>
        <v>37557</v>
      </c>
    </row>
    <row r="30" spans="1:5" s="24" customFormat="1" ht="15" customHeight="1" x14ac:dyDescent="0.3">
      <c r="A30" s="40" t="s">
        <v>434</v>
      </c>
      <c r="B30" s="38" t="s">
        <v>435</v>
      </c>
      <c r="C30" s="193">
        <v>36433</v>
      </c>
      <c r="D30" s="34">
        <f t="shared" si="1"/>
        <v>1124</v>
      </c>
      <c r="E30" s="39">
        <f>'2.pielikums'!G59</f>
        <v>37557</v>
      </c>
    </row>
    <row r="31" spans="1:5" s="24" customFormat="1" ht="30" customHeight="1" x14ac:dyDescent="0.3">
      <c r="A31" s="35" t="s">
        <v>436</v>
      </c>
      <c r="B31" s="35" t="s">
        <v>313</v>
      </c>
      <c r="C31" s="36">
        <f t="shared" ref="C31" si="8">C32+C33</f>
        <v>520000</v>
      </c>
      <c r="D31" s="30">
        <f t="shared" si="1"/>
        <v>25000</v>
      </c>
      <c r="E31" s="36">
        <f>E32+E33</f>
        <v>545000</v>
      </c>
    </row>
    <row r="32" spans="1:5" s="24" customFormat="1" ht="15" customHeight="1" x14ac:dyDescent="0.3">
      <c r="A32" s="37" t="s">
        <v>437</v>
      </c>
      <c r="B32" s="41" t="s">
        <v>438</v>
      </c>
      <c r="C32" s="194">
        <v>100000</v>
      </c>
      <c r="D32" s="34">
        <f t="shared" si="1"/>
        <v>25000</v>
      </c>
      <c r="E32" s="39">
        <f>'2.pielikums'!G69</f>
        <v>125000</v>
      </c>
    </row>
    <row r="33" spans="1:6" s="24" customFormat="1" ht="15" customHeight="1" x14ac:dyDescent="0.3">
      <c r="A33" s="37" t="s">
        <v>439</v>
      </c>
      <c r="B33" s="41" t="s">
        <v>440</v>
      </c>
      <c r="C33" s="194">
        <v>420000</v>
      </c>
      <c r="D33" s="34">
        <f t="shared" si="1"/>
        <v>0</v>
      </c>
      <c r="E33" s="39">
        <f>'2.pielikums'!G70</f>
        <v>420000</v>
      </c>
    </row>
    <row r="34" spans="1:6" s="24" customFormat="1" ht="30" customHeight="1" x14ac:dyDescent="0.3">
      <c r="A34" s="35" t="s">
        <v>441</v>
      </c>
      <c r="B34" s="35" t="s">
        <v>321</v>
      </c>
      <c r="C34" s="36">
        <f t="shared" ref="C34" si="9">C35</f>
        <v>15865</v>
      </c>
      <c r="D34" s="30">
        <f t="shared" si="1"/>
        <v>0</v>
      </c>
      <c r="E34" s="36">
        <f>E35</f>
        <v>15865</v>
      </c>
    </row>
    <row r="35" spans="1:6" s="24" customFormat="1" ht="15" customHeight="1" x14ac:dyDescent="0.3">
      <c r="A35" s="37" t="s">
        <v>442</v>
      </c>
      <c r="B35" s="38" t="s">
        <v>443</v>
      </c>
      <c r="C35" s="193">
        <v>15865</v>
      </c>
      <c r="D35" s="34">
        <f t="shared" si="1"/>
        <v>0</v>
      </c>
      <c r="E35" s="39">
        <f>'2.pielikums'!G72</f>
        <v>15865</v>
      </c>
    </row>
    <row r="36" spans="1:6" s="24" customFormat="1" ht="15" customHeight="1" x14ac:dyDescent="0.3">
      <c r="A36" s="35" t="s">
        <v>444</v>
      </c>
      <c r="B36" s="35" t="s">
        <v>324</v>
      </c>
      <c r="C36" s="36">
        <f t="shared" ref="C36" si="10">C37</f>
        <v>21897638</v>
      </c>
      <c r="D36" s="30">
        <f t="shared" si="1"/>
        <v>837029</v>
      </c>
      <c r="E36" s="36">
        <f>E37</f>
        <v>22734667</v>
      </c>
    </row>
    <row r="37" spans="1:6" s="24" customFormat="1" ht="15" customHeight="1" x14ac:dyDescent="0.3">
      <c r="A37" s="37" t="s">
        <v>445</v>
      </c>
      <c r="B37" s="38" t="s">
        <v>446</v>
      </c>
      <c r="C37" s="193">
        <v>21897638</v>
      </c>
      <c r="D37" s="34">
        <f t="shared" si="1"/>
        <v>837029</v>
      </c>
      <c r="E37" s="39">
        <f>'2.pielikums'!G75</f>
        <v>22734667</v>
      </c>
    </row>
    <row r="38" spans="1:6" s="24" customFormat="1" ht="15" customHeight="1" x14ac:dyDescent="0.3">
      <c r="A38" s="35" t="s">
        <v>495</v>
      </c>
      <c r="B38" s="35" t="s">
        <v>496</v>
      </c>
      <c r="C38" s="36">
        <f t="shared" ref="C38" si="11">C39</f>
        <v>180000</v>
      </c>
      <c r="D38" s="30">
        <f t="shared" si="1"/>
        <v>0</v>
      </c>
      <c r="E38" s="36">
        <f>E39</f>
        <v>180000</v>
      </c>
    </row>
    <row r="39" spans="1:6" s="24" customFormat="1" ht="15" customHeight="1" x14ac:dyDescent="0.3">
      <c r="A39" s="37" t="s">
        <v>497</v>
      </c>
      <c r="B39" s="38" t="s">
        <v>498</v>
      </c>
      <c r="C39" s="193">
        <v>180000</v>
      </c>
      <c r="D39" s="30">
        <f t="shared" si="1"/>
        <v>0</v>
      </c>
      <c r="E39" s="39">
        <f>'2.pielikums'!G140</f>
        <v>180000</v>
      </c>
    </row>
    <row r="40" spans="1:6" s="24" customFormat="1" ht="15" customHeight="1" x14ac:dyDescent="0.3">
      <c r="A40" s="35" t="s">
        <v>447</v>
      </c>
      <c r="B40" s="35" t="s">
        <v>448</v>
      </c>
      <c r="C40" s="36">
        <f t="shared" ref="C40" si="12">SUM(C41:C42)</f>
        <v>4346887</v>
      </c>
      <c r="D40" s="30">
        <f t="shared" si="1"/>
        <v>19504</v>
      </c>
      <c r="E40" s="36">
        <f>SUM(E41:E42)</f>
        <v>4366391</v>
      </c>
    </row>
    <row r="41" spans="1:6" s="24" customFormat="1" ht="30" customHeight="1" x14ac:dyDescent="0.3">
      <c r="A41" s="37" t="s">
        <v>449</v>
      </c>
      <c r="B41" s="38" t="s">
        <v>450</v>
      </c>
      <c r="C41" s="193">
        <v>4341887</v>
      </c>
      <c r="D41" s="34">
        <f t="shared" si="1"/>
        <v>2004</v>
      </c>
      <c r="E41" s="39">
        <f>'2.pielikums'!G143</f>
        <v>4343891</v>
      </c>
    </row>
    <row r="42" spans="1:6" s="24" customFormat="1" ht="30" customHeight="1" x14ac:dyDescent="0.3">
      <c r="A42" s="37" t="s">
        <v>766</v>
      </c>
      <c r="B42" s="38" t="s">
        <v>451</v>
      </c>
      <c r="C42" s="193">
        <v>5000</v>
      </c>
      <c r="D42" s="34">
        <f t="shared" si="1"/>
        <v>17500</v>
      </c>
      <c r="E42" s="39">
        <f>'2.pielikums'!G419</f>
        <v>22500</v>
      </c>
    </row>
    <row r="43" spans="1:6" s="24" customFormat="1" ht="30" customHeight="1" x14ac:dyDescent="0.3">
      <c r="A43" s="42" t="s">
        <v>452</v>
      </c>
      <c r="B43" s="43"/>
      <c r="C43" s="43">
        <f t="shared" ref="C43" si="13">C44</f>
        <v>41957831</v>
      </c>
      <c r="D43" s="30">
        <f t="shared" si="1"/>
        <v>680352</v>
      </c>
      <c r="E43" s="43">
        <f>E44</f>
        <v>42638183</v>
      </c>
    </row>
    <row r="44" spans="1:6" s="24" customFormat="1" ht="30" customHeight="1" x14ac:dyDescent="0.3">
      <c r="A44" s="44" t="s">
        <v>454</v>
      </c>
      <c r="B44" s="45"/>
      <c r="C44" s="43">
        <f t="shared" ref="C44" si="14">SUM(C45:C53)</f>
        <v>41957831</v>
      </c>
      <c r="D44" s="30">
        <f t="shared" si="1"/>
        <v>680352</v>
      </c>
      <c r="E44" s="43">
        <f>SUM(E45:E53)</f>
        <v>42638183</v>
      </c>
    </row>
    <row r="45" spans="1:6" s="24" customFormat="1" ht="15" customHeight="1" x14ac:dyDescent="0.3">
      <c r="A45" s="35" t="s">
        <v>170</v>
      </c>
      <c r="B45" s="35" t="s">
        <v>169</v>
      </c>
      <c r="C45" s="198">
        <v>3284701</v>
      </c>
      <c r="D45" s="30">
        <f t="shared" si="1"/>
        <v>126933</v>
      </c>
      <c r="E45" s="43">
        <f>'3.pielikums'!H17</f>
        <v>3411634</v>
      </c>
    </row>
    <row r="46" spans="1:6" s="24" customFormat="1" ht="15" customHeight="1" x14ac:dyDescent="0.3">
      <c r="A46" s="35" t="s">
        <v>172</v>
      </c>
      <c r="B46" s="35" t="s">
        <v>171</v>
      </c>
      <c r="C46" s="198">
        <v>356204</v>
      </c>
      <c r="D46" s="30">
        <f t="shared" si="1"/>
        <v>3000</v>
      </c>
      <c r="E46" s="43">
        <f>'3.pielikums'!H32</f>
        <v>359204</v>
      </c>
    </row>
    <row r="47" spans="1:6" s="24" customFormat="1" ht="15" customHeight="1" x14ac:dyDescent="0.3">
      <c r="A47" s="35" t="s">
        <v>174</v>
      </c>
      <c r="B47" s="35" t="s">
        <v>173</v>
      </c>
      <c r="C47" s="198">
        <v>4431449</v>
      </c>
      <c r="D47" s="30">
        <f t="shared" si="1"/>
        <v>1257</v>
      </c>
      <c r="E47" s="43">
        <f>'3.pielikums'!H36</f>
        <v>4432706</v>
      </c>
    </row>
    <row r="48" spans="1:6" s="24" customFormat="1" ht="15" customHeight="1" x14ac:dyDescent="0.3">
      <c r="A48" s="35" t="s">
        <v>178</v>
      </c>
      <c r="B48" s="35" t="s">
        <v>177</v>
      </c>
      <c r="C48" s="198">
        <v>507953</v>
      </c>
      <c r="D48" s="30">
        <f>E48-C48</f>
        <v>742</v>
      </c>
      <c r="E48" s="43">
        <f>'3.pielikums'!H72</f>
        <v>508695</v>
      </c>
      <c r="F48" s="90"/>
    </row>
    <row r="49" spans="1:6" s="24" customFormat="1" ht="15" customHeight="1" x14ac:dyDescent="0.3">
      <c r="A49" s="35" t="s">
        <v>455</v>
      </c>
      <c r="B49" s="35" t="s">
        <v>179</v>
      </c>
      <c r="C49" s="198">
        <v>4492273</v>
      </c>
      <c r="D49" s="30">
        <f t="shared" si="1"/>
        <v>228398</v>
      </c>
      <c r="E49" s="43">
        <f>'3.pielikums'!H98</f>
        <v>4720671</v>
      </c>
    </row>
    <row r="50" spans="1:6" s="24" customFormat="1" ht="15" customHeight="1" x14ac:dyDescent="0.3">
      <c r="A50" s="35" t="s">
        <v>185</v>
      </c>
      <c r="B50" s="35" t="s">
        <v>184</v>
      </c>
      <c r="C50" s="198">
        <v>279052</v>
      </c>
      <c r="D50" s="30">
        <f t="shared" si="1"/>
        <v>0</v>
      </c>
      <c r="E50" s="43">
        <f>'3.pielikums'!H179</f>
        <v>279052</v>
      </c>
    </row>
    <row r="51" spans="1:6" s="24" customFormat="1" ht="15" customHeight="1" x14ac:dyDescent="0.3">
      <c r="A51" s="35" t="s">
        <v>456</v>
      </c>
      <c r="B51" s="35" t="s">
        <v>193</v>
      </c>
      <c r="C51" s="198">
        <v>2590070</v>
      </c>
      <c r="D51" s="30">
        <f t="shared" si="1"/>
        <v>65165</v>
      </c>
      <c r="E51" s="43">
        <f>'3.pielikums'!H190</f>
        <v>2655235</v>
      </c>
    </row>
    <row r="52" spans="1:6" s="24" customFormat="1" ht="15" customHeight="1" x14ac:dyDescent="0.3">
      <c r="A52" s="35" t="s">
        <v>207</v>
      </c>
      <c r="B52" s="35" t="s">
        <v>206</v>
      </c>
      <c r="C52" s="198">
        <v>19082128</v>
      </c>
      <c r="D52" s="30">
        <f t="shared" si="1"/>
        <v>229398</v>
      </c>
      <c r="E52" s="43">
        <f>'3.pielikums'!H243</f>
        <v>19311526</v>
      </c>
    </row>
    <row r="53" spans="1:6" s="24" customFormat="1" ht="15" customHeight="1" x14ac:dyDescent="0.3">
      <c r="A53" s="35" t="s">
        <v>219</v>
      </c>
      <c r="B53" s="35" t="s">
        <v>218</v>
      </c>
      <c r="C53" s="198">
        <v>6934001</v>
      </c>
      <c r="D53" s="30">
        <f t="shared" si="1"/>
        <v>25459</v>
      </c>
      <c r="E53" s="43">
        <f>'3.pielikums'!H316</f>
        <v>6959460</v>
      </c>
      <c r="F53" s="90"/>
    </row>
    <row r="54" spans="1:6" s="24" customFormat="1" ht="30" customHeight="1" x14ac:dyDescent="0.3">
      <c r="A54" s="44" t="s">
        <v>457</v>
      </c>
      <c r="B54" s="45"/>
      <c r="C54" s="36">
        <f t="shared" ref="C54" si="15">SUM(C55:C61)</f>
        <v>41957831</v>
      </c>
      <c r="D54" s="30">
        <f t="shared" si="1"/>
        <v>680352</v>
      </c>
      <c r="E54" s="36">
        <f>SUM(E55:E61)</f>
        <v>42638183</v>
      </c>
      <c r="F54" s="90"/>
    </row>
    <row r="55" spans="1:6" s="24" customFormat="1" ht="15" customHeight="1" x14ac:dyDescent="0.3">
      <c r="A55" s="35" t="s">
        <v>458</v>
      </c>
      <c r="B55" s="35" t="s">
        <v>459</v>
      </c>
      <c r="C55" s="198">
        <v>24514998</v>
      </c>
      <c r="D55" s="30">
        <f t="shared" si="1"/>
        <v>134837</v>
      </c>
      <c r="E55" s="36">
        <f>'4.pielikums'!C614</f>
        <v>24649835</v>
      </c>
    </row>
    <row r="56" spans="1:6" s="24" customFormat="1" ht="15" customHeight="1" x14ac:dyDescent="0.3">
      <c r="A56" s="35" t="s">
        <v>62</v>
      </c>
      <c r="B56" s="35" t="s">
        <v>460</v>
      </c>
      <c r="C56" s="198">
        <v>9009646</v>
      </c>
      <c r="D56" s="30">
        <f t="shared" si="1"/>
        <v>231573</v>
      </c>
      <c r="E56" s="36">
        <f>'4.pielikums'!F614</f>
        <v>9241219</v>
      </c>
    </row>
    <row r="57" spans="1:6" s="24" customFormat="1" ht="15" customHeight="1" x14ac:dyDescent="0.3">
      <c r="A57" s="35" t="s">
        <v>63</v>
      </c>
      <c r="B57" s="35" t="s">
        <v>461</v>
      </c>
      <c r="C57" s="198">
        <v>127750</v>
      </c>
      <c r="D57" s="30">
        <f t="shared" si="1"/>
        <v>313148</v>
      </c>
      <c r="E57" s="36">
        <f>'4.pielikums'!L614</f>
        <v>440898</v>
      </c>
    </row>
    <row r="58" spans="1:6" s="24" customFormat="1" ht="15" customHeight="1" x14ac:dyDescent="0.3">
      <c r="A58" s="35" t="s">
        <v>462</v>
      </c>
      <c r="B58" s="35" t="s">
        <v>463</v>
      </c>
      <c r="C58" s="198">
        <v>568062</v>
      </c>
      <c r="D58" s="30">
        <f t="shared" si="1"/>
        <v>0</v>
      </c>
      <c r="E58" s="36">
        <f>'4.pielikums'!M614</f>
        <v>568062</v>
      </c>
    </row>
    <row r="59" spans="1:6" s="24" customFormat="1" ht="15" customHeight="1" x14ac:dyDescent="0.3">
      <c r="A59" s="35" t="s">
        <v>64</v>
      </c>
      <c r="B59" s="35" t="s">
        <v>464</v>
      </c>
      <c r="C59" s="198">
        <v>5494154</v>
      </c>
      <c r="D59" s="30">
        <f t="shared" si="1"/>
        <v>794</v>
      </c>
      <c r="E59" s="36">
        <f>'4.pielikums'!N614</f>
        <v>5494948</v>
      </c>
    </row>
    <row r="60" spans="1:6" s="24" customFormat="1" ht="15" customHeight="1" x14ac:dyDescent="0.3">
      <c r="A60" s="35" t="s">
        <v>156</v>
      </c>
      <c r="B60" s="35" t="s">
        <v>465</v>
      </c>
      <c r="C60" s="198">
        <v>1971586</v>
      </c>
      <c r="D60" s="30">
        <f t="shared" si="1"/>
        <v>0</v>
      </c>
      <c r="E60" s="36">
        <f>'4.pielikums'!O614</f>
        <v>1971586</v>
      </c>
    </row>
    <row r="61" spans="1:6" s="24" customFormat="1" ht="30" customHeight="1" x14ac:dyDescent="0.3">
      <c r="A61" s="35" t="s">
        <v>466</v>
      </c>
      <c r="B61" s="35" t="s">
        <v>467</v>
      </c>
      <c r="C61" s="198">
        <v>271635</v>
      </c>
      <c r="D61" s="30">
        <f t="shared" si="1"/>
        <v>0</v>
      </c>
      <c r="E61" s="36">
        <f>'4.pielikums'!P614</f>
        <v>271635</v>
      </c>
    </row>
    <row r="62" spans="1:6" s="24" customFormat="1" ht="30" customHeight="1" x14ac:dyDescent="0.3">
      <c r="A62" s="46"/>
      <c r="B62" s="46"/>
      <c r="C62" s="199"/>
      <c r="D62" s="30">
        <f t="shared" si="1"/>
        <v>0</v>
      </c>
      <c r="E62" s="47"/>
    </row>
    <row r="63" spans="1:6" s="24" customFormat="1" ht="15" customHeight="1" x14ac:dyDescent="0.3">
      <c r="A63" s="42" t="s">
        <v>468</v>
      </c>
      <c r="B63" s="35" t="s">
        <v>453</v>
      </c>
      <c r="C63" s="36">
        <f t="shared" ref="C63" si="16">C15-C43</f>
        <v>-1426672</v>
      </c>
      <c r="D63" s="30">
        <f t="shared" si="1"/>
        <v>-68515</v>
      </c>
      <c r="E63" s="36">
        <f>E15-E43</f>
        <v>-1495187</v>
      </c>
      <c r="F63" s="90"/>
    </row>
    <row r="64" spans="1:6" s="24" customFormat="1" ht="23.25" customHeight="1" x14ac:dyDescent="0.3">
      <c r="A64" s="42" t="s">
        <v>469</v>
      </c>
      <c r="B64" s="35" t="s">
        <v>453</v>
      </c>
      <c r="C64" s="43">
        <f t="shared" ref="C64:D64" si="17">C65+C72</f>
        <v>1426671.9900000002</v>
      </c>
      <c r="D64" s="43">
        <f t="shared" si="17"/>
        <v>68515</v>
      </c>
      <c r="E64" s="43">
        <f>E65+E72</f>
        <v>1495186.9900000002</v>
      </c>
      <c r="F64" s="90"/>
    </row>
    <row r="65" spans="1:6" s="48" customFormat="1" ht="15" customHeight="1" x14ac:dyDescent="0.3">
      <c r="A65" s="35" t="s">
        <v>470</v>
      </c>
      <c r="B65" s="35" t="s">
        <v>471</v>
      </c>
      <c r="C65" s="43">
        <f t="shared" ref="C65:D65" si="18">C66+C69</f>
        <v>2654914</v>
      </c>
      <c r="D65" s="43">
        <f t="shared" si="18"/>
        <v>38620</v>
      </c>
      <c r="E65" s="43">
        <f>E66+E69</f>
        <v>2693534</v>
      </c>
    </row>
    <row r="66" spans="1:6" s="49" customFormat="1" ht="15" customHeight="1" x14ac:dyDescent="0.3">
      <c r="A66" s="35" t="s">
        <v>472</v>
      </c>
      <c r="B66" s="35" t="s">
        <v>473</v>
      </c>
      <c r="C66" s="43">
        <f t="shared" ref="C66:D66" si="19">C67-C68</f>
        <v>8543</v>
      </c>
      <c r="D66" s="43">
        <f t="shared" si="19"/>
        <v>0</v>
      </c>
      <c r="E66" s="43">
        <f>E67-E68</f>
        <v>8543</v>
      </c>
    </row>
    <row r="67" spans="1:6" s="49" customFormat="1" ht="15" customHeight="1" x14ac:dyDescent="0.3">
      <c r="A67" s="35" t="s">
        <v>613</v>
      </c>
      <c r="B67" s="35" t="s">
        <v>615</v>
      </c>
      <c r="C67" s="198">
        <v>8543</v>
      </c>
      <c r="D67" s="30">
        <f t="shared" si="1"/>
        <v>0</v>
      </c>
      <c r="E67" s="43">
        <v>8543</v>
      </c>
    </row>
    <row r="68" spans="1:6" s="49" customFormat="1" ht="15" customHeight="1" x14ac:dyDescent="0.3">
      <c r="A68" s="35" t="s">
        <v>614</v>
      </c>
      <c r="B68" s="35" t="s">
        <v>616</v>
      </c>
      <c r="C68" s="198">
        <v>0</v>
      </c>
      <c r="D68" s="30">
        <f t="shared" si="1"/>
        <v>0</v>
      </c>
      <c r="E68" s="43">
        <v>0</v>
      </c>
    </row>
    <row r="69" spans="1:6" s="50" customFormat="1" ht="15" customHeight="1" x14ac:dyDescent="0.3">
      <c r="A69" s="35" t="s">
        <v>474</v>
      </c>
      <c r="B69" s="35" t="s">
        <v>475</v>
      </c>
      <c r="C69" s="43">
        <f>C70-C71</f>
        <v>2646371</v>
      </c>
      <c r="D69" s="43">
        <f>D70-D71</f>
        <v>38620</v>
      </c>
      <c r="E69" s="43">
        <f>E70-E71</f>
        <v>2684991</v>
      </c>
    </row>
    <row r="70" spans="1:6" s="24" customFormat="1" ht="15" customHeight="1" x14ac:dyDescent="0.3">
      <c r="A70" s="35" t="s">
        <v>476</v>
      </c>
      <c r="B70" s="35" t="s">
        <v>477</v>
      </c>
      <c r="C70" s="43">
        <f t="shared" ref="C70" si="20">1675654+1020614</f>
        <v>2696268</v>
      </c>
      <c r="D70" s="30">
        <f t="shared" si="1"/>
        <v>0</v>
      </c>
      <c r="E70" s="43">
        <f>1675654+1020614</f>
        <v>2696268</v>
      </c>
    </row>
    <row r="71" spans="1:6" s="24" customFormat="1" ht="30" customHeight="1" x14ac:dyDescent="0.3">
      <c r="A71" s="35" t="s">
        <v>478</v>
      </c>
      <c r="B71" s="35" t="s">
        <v>548</v>
      </c>
      <c r="C71" s="198">
        <v>49897</v>
      </c>
      <c r="D71" s="30">
        <v>-38620</v>
      </c>
      <c r="E71" s="43">
        <f>C71+D71</f>
        <v>11277</v>
      </c>
      <c r="F71" s="122"/>
    </row>
    <row r="72" spans="1:6" s="24" customFormat="1" ht="15" customHeight="1" x14ac:dyDescent="0.3">
      <c r="A72" s="35" t="s">
        <v>168</v>
      </c>
      <c r="B72" s="35" t="s">
        <v>479</v>
      </c>
      <c r="C72" s="43">
        <f t="shared" ref="C72" si="21">C73-C74</f>
        <v>-1228242.0099999998</v>
      </c>
      <c r="D72" s="30">
        <f t="shared" si="1"/>
        <v>29895</v>
      </c>
      <c r="E72" s="43">
        <f>E73-E74</f>
        <v>-1198347.0099999998</v>
      </c>
    </row>
    <row r="73" spans="1:6" s="24" customFormat="1" ht="15" customHeight="1" x14ac:dyDescent="0.3">
      <c r="A73" s="35" t="s">
        <v>480</v>
      </c>
      <c r="B73" s="35" t="s">
        <v>484</v>
      </c>
      <c r="C73" s="43">
        <v>1775293</v>
      </c>
      <c r="D73" s="30">
        <f>E73-C73</f>
        <v>29895</v>
      </c>
      <c r="E73" s="43">
        <f>1775293+53830-23935</f>
        <v>1805188</v>
      </c>
    </row>
    <row r="74" spans="1:6" s="24" customFormat="1" ht="15" customHeight="1" x14ac:dyDescent="0.3">
      <c r="A74" s="35" t="s">
        <v>481</v>
      </c>
      <c r="B74" s="35" t="s">
        <v>482</v>
      </c>
      <c r="C74" s="51">
        <f t="shared" ref="C74" si="22">2789163-14088-11396-135063.91+89856.01+150000+135063.91</f>
        <v>3003535.01</v>
      </c>
      <c r="D74" s="30">
        <f t="shared" si="1"/>
        <v>0</v>
      </c>
      <c r="E74" s="51">
        <f>2789163-14088-11396-135063.91+89856.01+150000+135063.91</f>
        <v>3003535.01</v>
      </c>
    </row>
    <row r="75" spans="1:6" x14ac:dyDescent="0.3">
      <c r="A75" s="127"/>
    </row>
    <row r="76" spans="1:6" x14ac:dyDescent="0.3">
      <c r="A76" s="208" t="s">
        <v>765</v>
      </c>
      <c r="B76" s="208"/>
      <c r="C76" s="208"/>
      <c r="D76" s="208"/>
      <c r="E76" s="208"/>
    </row>
    <row r="77" spans="1:6" ht="18" x14ac:dyDescent="0.35">
      <c r="A77" s="62"/>
    </row>
  </sheetData>
  <mergeCells count="2">
    <mergeCell ref="A12:E12"/>
    <mergeCell ref="A76:E76"/>
  </mergeCells>
  <pageMargins left="0.25" right="0.25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apa2"/>
  <dimension ref="A1:H429"/>
  <sheetViews>
    <sheetView zoomScale="87" zoomScaleNormal="87" workbookViewId="0">
      <pane xSplit="2" ySplit="15" topLeftCell="C391" activePane="bottomRight" state="frozen"/>
      <selection pane="topRight" activeCell="C1" sqref="C1"/>
      <selection pane="bottomLeft" activeCell="A12" sqref="A12"/>
      <selection pane="bottomRight" activeCell="J431" sqref="J431"/>
    </sheetView>
  </sheetViews>
  <sheetFormatPr defaultColWidth="9.109375" defaultRowHeight="14.4" x14ac:dyDescent="0.3"/>
  <cols>
    <col min="1" max="1" width="14.33203125" style="83" customWidth="1"/>
    <col min="2" max="2" width="48.33203125" style="83" customWidth="1"/>
    <col min="3" max="3" width="15.109375" style="83" customWidth="1"/>
    <col min="4" max="4" width="15.6640625" style="83" customWidth="1"/>
    <col min="5" max="6" width="14.44140625" style="83" customWidth="1"/>
    <col min="7" max="7" width="15.6640625" style="83" customWidth="1"/>
    <col min="8" max="8" width="9.88671875" style="59" bestFit="1" customWidth="1"/>
    <col min="9" max="16384" width="9.109375" style="59"/>
  </cols>
  <sheetData>
    <row r="1" spans="1:8" ht="15.6" x14ac:dyDescent="0.3">
      <c r="G1" s="101" t="s">
        <v>767</v>
      </c>
    </row>
    <row r="2" spans="1:8" ht="15.6" x14ac:dyDescent="0.3">
      <c r="G2" s="101" t="s">
        <v>543</v>
      </c>
    </row>
    <row r="3" spans="1:8" ht="15.6" x14ac:dyDescent="0.3">
      <c r="G3" s="101" t="s">
        <v>759</v>
      </c>
    </row>
    <row r="4" spans="1:8" customFormat="1" ht="15.75" customHeight="1" x14ac:dyDescent="0.3">
      <c r="B4" s="79"/>
      <c r="C4" s="79"/>
      <c r="D4" s="79"/>
      <c r="E4" s="79"/>
      <c r="F4" s="79"/>
      <c r="G4" s="101" t="s">
        <v>760</v>
      </c>
    </row>
    <row r="5" spans="1:8" customFormat="1" ht="19.5" customHeight="1" x14ac:dyDescent="0.3">
      <c r="B5" s="79"/>
      <c r="C5" s="79"/>
      <c r="D5" s="79"/>
      <c r="E5" s="79"/>
      <c r="F5" s="79"/>
      <c r="G5" s="101" t="s">
        <v>761</v>
      </c>
    </row>
    <row r="6" spans="1:8" customFormat="1" ht="12.6" customHeight="1" x14ac:dyDescent="0.3">
      <c r="B6" s="79"/>
      <c r="C6" s="79"/>
      <c r="D6" s="79"/>
      <c r="E6" s="79"/>
      <c r="F6" s="79"/>
      <c r="G6" s="101"/>
    </row>
    <row r="7" spans="1:8" customFormat="1" ht="15.6" x14ac:dyDescent="0.3">
      <c r="B7" s="79"/>
      <c r="C7" s="79"/>
      <c r="D7" s="79"/>
      <c r="E7" s="79"/>
      <c r="F7" s="79"/>
      <c r="G7" s="80" t="s">
        <v>767</v>
      </c>
    </row>
    <row r="8" spans="1:8" customFormat="1" ht="15.6" x14ac:dyDescent="0.3">
      <c r="B8" s="79"/>
      <c r="C8" s="79"/>
      <c r="D8" s="79"/>
      <c r="E8" s="79"/>
      <c r="F8" s="79"/>
      <c r="G8" s="80" t="s">
        <v>543</v>
      </c>
    </row>
    <row r="9" spans="1:8" customFormat="1" ht="15.6" x14ac:dyDescent="0.3">
      <c r="B9" s="79"/>
      <c r="C9" s="79"/>
      <c r="D9" s="79"/>
      <c r="E9" s="79"/>
      <c r="F9" s="79"/>
      <c r="G9" s="80" t="s">
        <v>768</v>
      </c>
    </row>
    <row r="10" spans="1:8" customFormat="1" ht="15.75" customHeight="1" x14ac:dyDescent="0.3">
      <c r="B10" s="79"/>
      <c r="C10" s="79"/>
      <c r="D10" s="79"/>
      <c r="E10" s="79"/>
      <c r="F10" s="79"/>
      <c r="G10" s="80" t="s">
        <v>763</v>
      </c>
    </row>
    <row r="11" spans="1:8" customFormat="1" ht="15.75" customHeight="1" x14ac:dyDescent="0.3">
      <c r="B11" s="79"/>
      <c r="C11" s="79"/>
      <c r="D11" s="79"/>
      <c r="E11" s="79"/>
      <c r="F11" s="79"/>
      <c r="G11" s="102"/>
    </row>
    <row r="12" spans="1:8" customFormat="1" ht="15.75" customHeight="1" x14ac:dyDescent="0.3">
      <c r="A12" s="97" t="s">
        <v>769</v>
      </c>
      <c r="B12" s="103"/>
      <c r="C12" s="103"/>
      <c r="D12" s="103"/>
      <c r="E12" s="79"/>
      <c r="F12" s="79"/>
      <c r="G12" s="79"/>
    </row>
    <row r="13" spans="1:8" customFormat="1" ht="15.75" customHeight="1" x14ac:dyDescent="0.3">
      <c r="A13" s="98"/>
      <c r="B13" s="104"/>
      <c r="C13" s="103"/>
      <c r="D13" s="103"/>
      <c r="E13" s="103"/>
      <c r="F13" s="103"/>
      <c r="G13" s="103"/>
    </row>
    <row r="14" spans="1:8" ht="15" customHeight="1" x14ac:dyDescent="0.3">
      <c r="A14" s="9" t="s">
        <v>161</v>
      </c>
      <c r="B14" s="8" t="s">
        <v>229</v>
      </c>
      <c r="C14" s="13" t="s">
        <v>230</v>
      </c>
      <c r="D14" s="13"/>
      <c r="E14" s="13"/>
      <c r="F14" s="7" t="s">
        <v>724</v>
      </c>
      <c r="G14" s="9" t="s">
        <v>725</v>
      </c>
    </row>
    <row r="15" spans="1:8" ht="64.5" customHeight="1" x14ac:dyDescent="0.3">
      <c r="A15" s="9"/>
      <c r="B15" s="8"/>
      <c r="C15" s="131" t="s">
        <v>633</v>
      </c>
      <c r="D15" s="131" t="s">
        <v>634</v>
      </c>
      <c r="E15" s="131" t="s">
        <v>635</v>
      </c>
      <c r="F15" s="6"/>
      <c r="G15" s="9"/>
    </row>
    <row r="16" spans="1:8" ht="15" customHeight="1" x14ac:dyDescent="0.3">
      <c r="A16" s="84" t="s">
        <v>231</v>
      </c>
      <c r="B16" s="70" t="s">
        <v>232</v>
      </c>
      <c r="C16" s="72">
        <f>C18+C21+C33+C41+C55+C68+C59+C39</f>
        <v>14090769</v>
      </c>
      <c r="D16" s="72">
        <f>D140+D143+D419+D59</f>
        <v>4526887</v>
      </c>
      <c r="E16" s="72">
        <f>E140+E75+E72</f>
        <v>21913503</v>
      </c>
      <c r="F16" s="72">
        <f>F140+F75+F72+F17+F55+F59+F68+F142</f>
        <v>611837</v>
      </c>
      <c r="G16" s="72">
        <f>G18+G21+G33+G39+G41+G55+G59+G68+G72+G75+G140+G142</f>
        <v>41123492</v>
      </c>
      <c r="H16" s="74"/>
    </row>
    <row r="17" spans="1:7" ht="15" customHeight="1" x14ac:dyDescent="0.3">
      <c r="A17" s="70">
        <v>1</v>
      </c>
      <c r="B17" s="70" t="s">
        <v>233</v>
      </c>
      <c r="C17" s="72">
        <f>C18+C21+C33</f>
        <v>13505251</v>
      </c>
      <c r="D17" s="72"/>
      <c r="E17" s="72"/>
      <c r="F17" s="72">
        <f t="shared" ref="F17" si="0">F18+F21+F33</f>
        <v>-273820</v>
      </c>
      <c r="G17" s="72">
        <f t="shared" ref="G17:G33" si="1">C17</f>
        <v>13505251</v>
      </c>
    </row>
    <row r="18" spans="1:7" ht="15" customHeight="1" x14ac:dyDescent="0.3">
      <c r="A18" s="70" t="s">
        <v>234</v>
      </c>
      <c r="B18" s="70" t="s">
        <v>235</v>
      </c>
      <c r="C18" s="72">
        <f>C19</f>
        <v>12315460</v>
      </c>
      <c r="D18" s="72"/>
      <c r="E18" s="72"/>
      <c r="F18" s="72">
        <f t="shared" ref="F18" si="2">F19</f>
        <v>-273820</v>
      </c>
      <c r="G18" s="72">
        <f>G19</f>
        <v>12041640</v>
      </c>
    </row>
    <row r="19" spans="1:7" ht="15" customHeight="1" x14ac:dyDescent="0.3">
      <c r="A19" s="70" t="s">
        <v>236</v>
      </c>
      <c r="B19" s="70" t="s">
        <v>237</v>
      </c>
      <c r="C19" s="72">
        <f>C20</f>
        <v>12315460</v>
      </c>
      <c r="D19" s="72"/>
      <c r="E19" s="72"/>
      <c r="F19" s="72">
        <f t="shared" ref="F19" si="3">F20</f>
        <v>-273820</v>
      </c>
      <c r="G19" s="72">
        <f>C19+F19</f>
        <v>12041640</v>
      </c>
    </row>
    <row r="20" spans="1:7" ht="15" customHeight="1" x14ac:dyDescent="0.3">
      <c r="A20" s="85" t="s">
        <v>238</v>
      </c>
      <c r="B20" s="69" t="s">
        <v>237</v>
      </c>
      <c r="C20" s="73">
        <v>12315460</v>
      </c>
      <c r="D20" s="73"/>
      <c r="E20" s="95"/>
      <c r="F20" s="95">
        <v>-273820</v>
      </c>
      <c r="G20" s="73">
        <f>C20+F20</f>
        <v>12041640</v>
      </c>
    </row>
    <row r="21" spans="1:7" ht="15" customHeight="1" x14ac:dyDescent="0.3">
      <c r="A21" s="86" t="s">
        <v>239</v>
      </c>
      <c r="B21" s="70" t="s">
        <v>240</v>
      </c>
      <c r="C21" s="72">
        <f>C22</f>
        <v>1131791</v>
      </c>
      <c r="D21" s="73"/>
      <c r="E21" s="95"/>
      <c r="F21" s="95"/>
      <c r="G21" s="72">
        <f t="shared" si="1"/>
        <v>1131791</v>
      </c>
    </row>
    <row r="22" spans="1:7" ht="15" customHeight="1" x14ac:dyDescent="0.3">
      <c r="A22" s="70" t="s">
        <v>241</v>
      </c>
      <c r="B22" s="70" t="s">
        <v>242</v>
      </c>
      <c r="C22" s="72">
        <f>C23+C26+C30</f>
        <v>1131791</v>
      </c>
      <c r="D22" s="73"/>
      <c r="E22" s="95"/>
      <c r="F22" s="95"/>
      <c r="G22" s="72">
        <f t="shared" si="1"/>
        <v>1131791</v>
      </c>
    </row>
    <row r="23" spans="1:7" ht="15" customHeight="1" x14ac:dyDescent="0.3">
      <c r="A23" s="70" t="s">
        <v>243</v>
      </c>
      <c r="B23" s="70" t="s">
        <v>244</v>
      </c>
      <c r="C23" s="72">
        <f>C24+C25</f>
        <v>990358</v>
      </c>
      <c r="D23" s="73"/>
      <c r="E23" s="95"/>
      <c r="F23" s="95"/>
      <c r="G23" s="72">
        <f t="shared" si="1"/>
        <v>990358</v>
      </c>
    </row>
    <row r="24" spans="1:7" ht="30" customHeight="1" x14ac:dyDescent="0.3">
      <c r="A24" s="69" t="s">
        <v>245</v>
      </c>
      <c r="B24" s="68" t="s">
        <v>246</v>
      </c>
      <c r="C24" s="73">
        <v>900358</v>
      </c>
      <c r="D24" s="73"/>
      <c r="E24" s="95"/>
      <c r="F24" s="95"/>
      <c r="G24" s="73">
        <f t="shared" si="1"/>
        <v>900358</v>
      </c>
    </row>
    <row r="25" spans="1:7" ht="30" customHeight="1" x14ac:dyDescent="0.3">
      <c r="A25" s="69" t="s">
        <v>247</v>
      </c>
      <c r="B25" s="68" t="s">
        <v>248</v>
      </c>
      <c r="C25" s="73">
        <v>90000</v>
      </c>
      <c r="D25" s="73"/>
      <c r="E25" s="95"/>
      <c r="F25" s="95"/>
      <c r="G25" s="73">
        <f t="shared" si="1"/>
        <v>90000</v>
      </c>
    </row>
    <row r="26" spans="1:7" ht="15" customHeight="1" x14ac:dyDescent="0.3">
      <c r="A26" s="70" t="s">
        <v>249</v>
      </c>
      <c r="B26" s="70" t="s">
        <v>250</v>
      </c>
      <c r="C26" s="72">
        <f>C27+C29</f>
        <v>85579</v>
      </c>
      <c r="D26" s="73"/>
      <c r="E26" s="95"/>
      <c r="F26" s="95"/>
      <c r="G26" s="72">
        <f t="shared" si="1"/>
        <v>85579</v>
      </c>
    </row>
    <row r="27" spans="1:7" ht="30" customHeight="1" x14ac:dyDescent="0.3">
      <c r="A27" s="69" t="s">
        <v>251</v>
      </c>
      <c r="B27" s="68" t="s">
        <v>252</v>
      </c>
      <c r="C27" s="73">
        <v>80579</v>
      </c>
      <c r="D27" s="73"/>
      <c r="E27" s="95"/>
      <c r="F27" s="95"/>
      <c r="G27" s="73">
        <f t="shared" si="1"/>
        <v>80579</v>
      </c>
    </row>
    <row r="28" spans="1:7" ht="15" customHeight="1" x14ac:dyDescent="0.3">
      <c r="A28" s="69"/>
      <c r="B28" s="68" t="s">
        <v>253</v>
      </c>
      <c r="C28" s="73">
        <v>4275</v>
      </c>
      <c r="D28" s="73"/>
      <c r="E28" s="95"/>
      <c r="F28" s="95"/>
      <c r="G28" s="73">
        <f t="shared" si="1"/>
        <v>4275</v>
      </c>
    </row>
    <row r="29" spans="1:7" ht="30" customHeight="1" x14ac:dyDescent="0.3">
      <c r="A29" s="69" t="s">
        <v>254</v>
      </c>
      <c r="B29" s="68" t="s">
        <v>771</v>
      </c>
      <c r="C29" s="73">
        <v>5000</v>
      </c>
      <c r="D29" s="73"/>
      <c r="E29" s="95"/>
      <c r="F29" s="95"/>
      <c r="G29" s="73">
        <f t="shared" si="1"/>
        <v>5000</v>
      </c>
    </row>
    <row r="30" spans="1:7" ht="15" customHeight="1" x14ac:dyDescent="0.3">
      <c r="A30" s="70" t="s">
        <v>255</v>
      </c>
      <c r="B30" s="71" t="s">
        <v>256</v>
      </c>
      <c r="C30" s="72">
        <f>C31+C32</f>
        <v>55854</v>
      </c>
      <c r="D30" s="73"/>
      <c r="E30" s="95"/>
      <c r="F30" s="95"/>
      <c r="G30" s="72">
        <f t="shared" si="1"/>
        <v>55854</v>
      </c>
    </row>
    <row r="31" spans="1:7" ht="30" customHeight="1" x14ac:dyDescent="0.3">
      <c r="A31" s="69" t="s">
        <v>257</v>
      </c>
      <c r="B31" s="68" t="s">
        <v>258</v>
      </c>
      <c r="C31" s="73">
        <v>45854</v>
      </c>
      <c r="D31" s="73"/>
      <c r="E31" s="95"/>
      <c r="F31" s="95"/>
      <c r="G31" s="73">
        <f t="shared" si="1"/>
        <v>45854</v>
      </c>
    </row>
    <row r="32" spans="1:7" ht="30" customHeight="1" x14ac:dyDescent="0.3">
      <c r="A32" s="69" t="s">
        <v>259</v>
      </c>
      <c r="B32" s="68" t="s">
        <v>770</v>
      </c>
      <c r="C32" s="73">
        <v>10000</v>
      </c>
      <c r="D32" s="73"/>
      <c r="E32" s="95"/>
      <c r="F32" s="95"/>
      <c r="G32" s="73">
        <f t="shared" si="1"/>
        <v>10000</v>
      </c>
    </row>
    <row r="33" spans="1:7" ht="30" customHeight="1" x14ac:dyDescent="0.3">
      <c r="A33" s="70" t="s">
        <v>260</v>
      </c>
      <c r="B33" s="71" t="s">
        <v>261</v>
      </c>
      <c r="C33" s="72">
        <f>C34+C36</f>
        <v>58000</v>
      </c>
      <c r="D33" s="73"/>
      <c r="E33" s="95"/>
      <c r="F33" s="95"/>
      <c r="G33" s="72">
        <f t="shared" si="1"/>
        <v>58000</v>
      </c>
    </row>
    <row r="34" spans="1:7" ht="30" customHeight="1" x14ac:dyDescent="0.3">
      <c r="A34" s="70" t="s">
        <v>262</v>
      </c>
      <c r="B34" s="71" t="s">
        <v>263</v>
      </c>
      <c r="C34" s="72">
        <f>C35</f>
        <v>8000</v>
      </c>
      <c r="D34" s="73"/>
      <c r="E34" s="95"/>
      <c r="F34" s="95"/>
      <c r="G34" s="72">
        <f>G35</f>
        <v>8000</v>
      </c>
    </row>
    <row r="35" spans="1:7" ht="15" customHeight="1" x14ac:dyDescent="0.3">
      <c r="A35" s="69" t="s">
        <v>264</v>
      </c>
      <c r="B35" s="69" t="s">
        <v>265</v>
      </c>
      <c r="C35" s="73">
        <v>8000</v>
      </c>
      <c r="D35" s="73"/>
      <c r="E35" s="95"/>
      <c r="F35" s="95"/>
      <c r="G35" s="73">
        <f>C35</f>
        <v>8000</v>
      </c>
    </row>
    <row r="36" spans="1:7" ht="30" customHeight="1" x14ac:dyDescent="0.3">
      <c r="A36" s="70" t="s">
        <v>266</v>
      </c>
      <c r="B36" s="71" t="s">
        <v>267</v>
      </c>
      <c r="C36" s="72">
        <f>C37</f>
        <v>50000</v>
      </c>
      <c r="D36" s="72"/>
      <c r="E36" s="94"/>
      <c r="F36" s="94"/>
      <c r="G36" s="72">
        <f>G37</f>
        <v>50000</v>
      </c>
    </row>
    <row r="37" spans="1:7" ht="15" customHeight="1" x14ac:dyDescent="0.3">
      <c r="A37" s="69" t="s">
        <v>268</v>
      </c>
      <c r="B37" s="69" t="s">
        <v>269</v>
      </c>
      <c r="C37" s="73">
        <v>50000</v>
      </c>
      <c r="D37" s="73"/>
      <c r="E37" s="95"/>
      <c r="F37" s="95"/>
      <c r="G37" s="73">
        <f>C37</f>
        <v>50000</v>
      </c>
    </row>
    <row r="38" spans="1:7" ht="20.25" customHeight="1" x14ac:dyDescent="0.3">
      <c r="A38" s="70">
        <v>2</v>
      </c>
      <c r="B38" s="70" t="s">
        <v>270</v>
      </c>
      <c r="C38" s="72">
        <f>C41+C55+C59+C68+C39</f>
        <v>585518</v>
      </c>
      <c r="D38" s="73"/>
      <c r="E38" s="95"/>
      <c r="F38" s="95"/>
      <c r="G38" s="72">
        <f>C38</f>
        <v>585518</v>
      </c>
    </row>
    <row r="39" spans="1:7" ht="15" customHeight="1" x14ac:dyDescent="0.3">
      <c r="A39" s="70" t="s">
        <v>271</v>
      </c>
      <c r="B39" s="70" t="s">
        <v>272</v>
      </c>
      <c r="C39" s="72">
        <f>C40</f>
        <v>10000</v>
      </c>
      <c r="D39" s="72"/>
      <c r="E39" s="94"/>
      <c r="F39" s="94"/>
      <c r="G39" s="72">
        <f>G40</f>
        <v>10000</v>
      </c>
    </row>
    <row r="40" spans="1:7" ht="47.25" customHeight="1" x14ac:dyDescent="0.3">
      <c r="A40" s="69" t="s">
        <v>273</v>
      </c>
      <c r="B40" s="68" t="s">
        <v>274</v>
      </c>
      <c r="C40" s="73">
        <v>10000</v>
      </c>
      <c r="D40" s="73"/>
      <c r="E40" s="95"/>
      <c r="F40" s="95"/>
      <c r="G40" s="73">
        <f t="shared" ref="G40:G57" si="4">C40</f>
        <v>10000</v>
      </c>
    </row>
    <row r="41" spans="1:7" s="65" customFormat="1" ht="30" customHeight="1" x14ac:dyDescent="0.3">
      <c r="A41" s="70" t="s">
        <v>275</v>
      </c>
      <c r="B41" s="71" t="s">
        <v>276</v>
      </c>
      <c r="C41" s="72">
        <f>C42+C49</f>
        <v>16585</v>
      </c>
      <c r="D41" s="72"/>
      <c r="E41" s="94"/>
      <c r="F41" s="94"/>
      <c r="G41" s="72">
        <f t="shared" si="4"/>
        <v>16585</v>
      </c>
    </row>
    <row r="42" spans="1:7" s="65" customFormat="1" ht="31.5" customHeight="1" x14ac:dyDescent="0.3">
      <c r="A42" s="70" t="s">
        <v>277</v>
      </c>
      <c r="B42" s="71" t="s">
        <v>723</v>
      </c>
      <c r="C42" s="72">
        <f>C43+C45+C47+C44+C46</f>
        <v>12185</v>
      </c>
      <c r="D42" s="72"/>
      <c r="E42" s="94"/>
      <c r="F42" s="94"/>
      <c r="G42" s="72">
        <f t="shared" si="4"/>
        <v>12185</v>
      </c>
    </row>
    <row r="43" spans="1:7" ht="30" customHeight="1" x14ac:dyDescent="0.3">
      <c r="A43" s="69" t="s">
        <v>278</v>
      </c>
      <c r="B43" s="68" t="s">
        <v>279</v>
      </c>
      <c r="C43" s="73">
        <v>10000</v>
      </c>
      <c r="D43" s="73"/>
      <c r="E43" s="95"/>
      <c r="F43" s="95"/>
      <c r="G43" s="73">
        <f t="shared" si="4"/>
        <v>10000</v>
      </c>
    </row>
    <row r="44" spans="1:7" ht="30" customHeight="1" x14ac:dyDescent="0.3">
      <c r="A44" s="69" t="s">
        <v>554</v>
      </c>
      <c r="B44" s="68" t="s">
        <v>555</v>
      </c>
      <c r="C44" s="73">
        <v>300</v>
      </c>
      <c r="D44" s="73"/>
      <c r="E44" s="95"/>
      <c r="F44" s="95"/>
      <c r="G44" s="73">
        <f t="shared" si="4"/>
        <v>300</v>
      </c>
    </row>
    <row r="45" spans="1:7" ht="30" customHeight="1" x14ac:dyDescent="0.3">
      <c r="A45" s="69" t="s">
        <v>280</v>
      </c>
      <c r="B45" s="128" t="s">
        <v>281</v>
      </c>
      <c r="C45" s="73">
        <v>1400</v>
      </c>
      <c r="D45" s="73"/>
      <c r="E45" s="95"/>
      <c r="F45" s="95"/>
      <c r="G45" s="73">
        <f t="shared" si="4"/>
        <v>1400</v>
      </c>
    </row>
    <row r="46" spans="1:7" ht="30.75" customHeight="1" x14ac:dyDescent="0.3">
      <c r="A46" s="69" t="s">
        <v>556</v>
      </c>
      <c r="B46" s="92" t="s">
        <v>557</v>
      </c>
      <c r="C46" s="73">
        <v>285</v>
      </c>
      <c r="D46" s="73"/>
      <c r="E46" s="95"/>
      <c r="F46" s="95"/>
      <c r="G46" s="73">
        <f t="shared" si="4"/>
        <v>285</v>
      </c>
    </row>
    <row r="47" spans="1:7" ht="30" customHeight="1" x14ac:dyDescent="0.3">
      <c r="A47" s="69" t="s">
        <v>282</v>
      </c>
      <c r="B47" s="68" t="s">
        <v>283</v>
      </c>
      <c r="C47" s="73">
        <f>C48</f>
        <v>200</v>
      </c>
      <c r="D47" s="73"/>
      <c r="E47" s="95"/>
      <c r="F47" s="95"/>
      <c r="G47" s="73">
        <f t="shared" si="4"/>
        <v>200</v>
      </c>
    </row>
    <row r="48" spans="1:7" ht="15" customHeight="1" x14ac:dyDescent="0.3">
      <c r="A48" s="69" t="s">
        <v>284</v>
      </c>
      <c r="B48" s="68" t="s">
        <v>285</v>
      </c>
      <c r="C48" s="73">
        <v>200</v>
      </c>
      <c r="D48" s="73"/>
      <c r="E48" s="95"/>
      <c r="F48" s="95"/>
      <c r="G48" s="73">
        <f t="shared" si="4"/>
        <v>200</v>
      </c>
    </row>
    <row r="49" spans="1:7" ht="15" customHeight="1" x14ac:dyDescent="0.3">
      <c r="A49" s="70" t="s">
        <v>286</v>
      </c>
      <c r="B49" s="70" t="s">
        <v>287</v>
      </c>
      <c r="C49" s="72">
        <f>C50+C51+C52+C53+C54</f>
        <v>4400</v>
      </c>
      <c r="D49" s="73"/>
      <c r="E49" s="95"/>
      <c r="F49" s="95"/>
      <c r="G49" s="72">
        <f t="shared" si="4"/>
        <v>4400</v>
      </c>
    </row>
    <row r="50" spans="1:7" ht="30" customHeight="1" x14ac:dyDescent="0.3">
      <c r="A50" s="69" t="s">
        <v>288</v>
      </c>
      <c r="B50" s="68" t="s">
        <v>289</v>
      </c>
      <c r="C50" s="73">
        <v>100</v>
      </c>
      <c r="D50" s="73"/>
      <c r="E50" s="95"/>
      <c r="F50" s="95"/>
      <c r="G50" s="73">
        <f t="shared" si="4"/>
        <v>100</v>
      </c>
    </row>
    <row r="51" spans="1:7" ht="27" customHeight="1" x14ac:dyDescent="0.3">
      <c r="A51" s="69" t="s">
        <v>290</v>
      </c>
      <c r="B51" s="68" t="s">
        <v>291</v>
      </c>
      <c r="C51" s="73">
        <v>1100</v>
      </c>
      <c r="D51" s="73"/>
      <c r="E51" s="95"/>
      <c r="F51" s="95"/>
      <c r="G51" s="73">
        <f t="shared" si="4"/>
        <v>1100</v>
      </c>
    </row>
    <row r="52" spans="1:7" ht="30" customHeight="1" x14ac:dyDescent="0.3">
      <c r="A52" s="69" t="s">
        <v>292</v>
      </c>
      <c r="B52" s="68" t="s">
        <v>293</v>
      </c>
      <c r="C52" s="73">
        <v>100</v>
      </c>
      <c r="D52" s="73"/>
      <c r="E52" s="95"/>
      <c r="F52" s="95"/>
      <c r="G52" s="73">
        <f t="shared" si="4"/>
        <v>100</v>
      </c>
    </row>
    <row r="53" spans="1:7" ht="15" customHeight="1" x14ac:dyDescent="0.3">
      <c r="A53" s="69" t="s">
        <v>294</v>
      </c>
      <c r="B53" s="68" t="s">
        <v>295</v>
      </c>
      <c r="C53" s="73">
        <v>3000</v>
      </c>
      <c r="D53" s="73"/>
      <c r="E53" s="95"/>
      <c r="F53" s="95"/>
      <c r="G53" s="73">
        <f t="shared" si="4"/>
        <v>3000</v>
      </c>
    </row>
    <row r="54" spans="1:7" ht="15" customHeight="1" x14ac:dyDescent="0.3">
      <c r="A54" s="69" t="s">
        <v>296</v>
      </c>
      <c r="B54" s="68" t="s">
        <v>297</v>
      </c>
      <c r="C54" s="73">
        <v>100</v>
      </c>
      <c r="D54" s="73"/>
      <c r="E54" s="95"/>
      <c r="F54" s="95"/>
      <c r="G54" s="73">
        <f t="shared" si="4"/>
        <v>100</v>
      </c>
    </row>
    <row r="55" spans="1:7" ht="15" customHeight="1" x14ac:dyDescent="0.3">
      <c r="A55" s="70" t="s">
        <v>298</v>
      </c>
      <c r="B55" s="70" t="s">
        <v>299</v>
      </c>
      <c r="C55" s="72">
        <f>C56+C58</f>
        <v>2500</v>
      </c>
      <c r="D55" s="72">
        <f t="shared" ref="D55:F55" si="5">D56+D58</f>
        <v>0</v>
      </c>
      <c r="E55" s="72">
        <f t="shared" si="5"/>
        <v>0</v>
      </c>
      <c r="F55" s="72">
        <f t="shared" si="5"/>
        <v>3000</v>
      </c>
      <c r="G55" s="72">
        <f>C55+F55</f>
        <v>5500</v>
      </c>
    </row>
    <row r="56" spans="1:7" ht="15" customHeight="1" x14ac:dyDescent="0.3">
      <c r="A56" s="69" t="s">
        <v>300</v>
      </c>
      <c r="B56" s="68" t="s">
        <v>301</v>
      </c>
      <c r="C56" s="73">
        <f>C57</f>
        <v>1500</v>
      </c>
      <c r="D56" s="73"/>
      <c r="E56" s="95"/>
      <c r="F56" s="95"/>
      <c r="G56" s="73">
        <f t="shared" si="4"/>
        <v>1500</v>
      </c>
    </row>
    <row r="57" spans="1:7" ht="30" customHeight="1" x14ac:dyDescent="0.3">
      <c r="A57" s="69" t="s">
        <v>302</v>
      </c>
      <c r="B57" s="68" t="s">
        <v>303</v>
      </c>
      <c r="C57" s="73">
        <v>1500</v>
      </c>
      <c r="D57" s="73"/>
      <c r="E57" s="95"/>
      <c r="F57" s="95"/>
      <c r="G57" s="73">
        <f t="shared" si="4"/>
        <v>1500</v>
      </c>
    </row>
    <row r="58" spans="1:7" ht="30" customHeight="1" x14ac:dyDescent="0.3">
      <c r="A58" s="69" t="s">
        <v>304</v>
      </c>
      <c r="B58" s="68" t="s">
        <v>305</v>
      </c>
      <c r="C58" s="73">
        <v>1000</v>
      </c>
      <c r="D58" s="73"/>
      <c r="E58" s="95"/>
      <c r="F58" s="95">
        <v>3000</v>
      </c>
      <c r="G58" s="73">
        <f>C58+F58</f>
        <v>4000</v>
      </c>
    </row>
    <row r="59" spans="1:7" ht="15" customHeight="1" x14ac:dyDescent="0.3">
      <c r="A59" s="70" t="s">
        <v>306</v>
      </c>
      <c r="B59" s="71" t="s">
        <v>307</v>
      </c>
      <c r="C59" s="72">
        <f>C60</f>
        <v>36433</v>
      </c>
      <c r="D59" s="72"/>
      <c r="E59" s="95"/>
      <c r="F59" s="94">
        <f>F60</f>
        <v>1124</v>
      </c>
      <c r="G59" s="72">
        <f>C59+F59</f>
        <v>37557</v>
      </c>
    </row>
    <row r="60" spans="1:7" ht="30" customHeight="1" x14ac:dyDescent="0.3">
      <c r="A60" s="69" t="s">
        <v>308</v>
      </c>
      <c r="B60" s="68" t="s">
        <v>309</v>
      </c>
      <c r="C60" s="73">
        <f>C61</f>
        <v>36433</v>
      </c>
      <c r="D60" s="73"/>
      <c r="E60" s="95"/>
      <c r="F60" s="95">
        <f>F61</f>
        <v>1124</v>
      </c>
      <c r="G60" s="73">
        <f>C60+F60</f>
        <v>37557</v>
      </c>
    </row>
    <row r="61" spans="1:7" ht="15" customHeight="1" x14ac:dyDescent="0.3">
      <c r="A61" s="69" t="s">
        <v>310</v>
      </c>
      <c r="B61" s="68" t="s">
        <v>311</v>
      </c>
      <c r="C61" s="73">
        <f>SUM(C62:C66)</f>
        <v>36433</v>
      </c>
      <c r="D61" s="73"/>
      <c r="E61" s="73"/>
      <c r="F61" s="73">
        <f>SUM(F62:F67)</f>
        <v>1124</v>
      </c>
      <c r="G61" s="73">
        <f>SUM(G62:G66)</f>
        <v>36433</v>
      </c>
    </row>
    <row r="62" spans="1:7" ht="15" customHeight="1" x14ac:dyDescent="0.3">
      <c r="A62" s="69"/>
      <c r="B62" s="69" t="s">
        <v>661</v>
      </c>
      <c r="C62" s="73">
        <v>4000</v>
      </c>
      <c r="D62" s="73"/>
      <c r="E62" s="95"/>
      <c r="F62" s="95"/>
      <c r="G62" s="73">
        <f t="shared" ref="G62:G66" si="6">C62</f>
        <v>4000</v>
      </c>
    </row>
    <row r="63" spans="1:7" ht="15" customHeight="1" x14ac:dyDescent="0.3">
      <c r="A63" s="69"/>
      <c r="B63" s="69" t="s">
        <v>312</v>
      </c>
      <c r="C63" s="73">
        <v>1780</v>
      </c>
      <c r="D63" s="73"/>
      <c r="E63" s="95"/>
      <c r="F63" s="95"/>
      <c r="G63" s="73">
        <f t="shared" si="6"/>
        <v>1780</v>
      </c>
    </row>
    <row r="64" spans="1:7" ht="15" customHeight="1" x14ac:dyDescent="0.3">
      <c r="A64" s="69"/>
      <c r="B64" s="68" t="s">
        <v>31</v>
      </c>
      <c r="C64" s="73">
        <v>420</v>
      </c>
      <c r="D64" s="73"/>
      <c r="E64" s="95"/>
      <c r="F64" s="95"/>
      <c r="G64" s="73">
        <f t="shared" si="6"/>
        <v>420</v>
      </c>
    </row>
    <row r="65" spans="1:7" ht="15" customHeight="1" x14ac:dyDescent="0.3">
      <c r="A65" s="69"/>
      <c r="B65" s="68" t="s">
        <v>43</v>
      </c>
      <c r="C65" s="73">
        <v>20910</v>
      </c>
      <c r="D65" s="73"/>
      <c r="E65" s="95"/>
      <c r="F65" s="95"/>
      <c r="G65" s="73">
        <f t="shared" si="6"/>
        <v>20910</v>
      </c>
    </row>
    <row r="66" spans="1:7" ht="15" customHeight="1" x14ac:dyDescent="0.3">
      <c r="A66" s="69"/>
      <c r="B66" s="68" t="s">
        <v>104</v>
      </c>
      <c r="C66" s="73">
        <v>9323</v>
      </c>
      <c r="D66" s="73"/>
      <c r="E66" s="95"/>
      <c r="F66" s="95"/>
      <c r="G66" s="73">
        <f t="shared" si="6"/>
        <v>9323</v>
      </c>
    </row>
    <row r="67" spans="1:7" ht="30" customHeight="1" x14ac:dyDescent="0.3">
      <c r="A67" s="69"/>
      <c r="B67" s="68" t="s">
        <v>755</v>
      </c>
      <c r="C67" s="73"/>
      <c r="D67" s="73"/>
      <c r="E67" s="95"/>
      <c r="F67" s="200">
        <v>1124</v>
      </c>
      <c r="G67" s="139">
        <f>C67+F67</f>
        <v>1124</v>
      </c>
    </row>
    <row r="68" spans="1:7" ht="30" customHeight="1" x14ac:dyDescent="0.3">
      <c r="A68" s="70" t="s">
        <v>313</v>
      </c>
      <c r="B68" s="71" t="s">
        <v>314</v>
      </c>
      <c r="C68" s="72">
        <f>C69+C70</f>
        <v>520000</v>
      </c>
      <c r="D68" s="72"/>
      <c r="E68" s="72">
        <f t="shared" ref="E68:F68" si="7">E69+E70</f>
        <v>0</v>
      </c>
      <c r="F68" s="72">
        <f t="shared" si="7"/>
        <v>25000</v>
      </c>
      <c r="G68" s="72">
        <f>G69+G70</f>
        <v>545000</v>
      </c>
    </row>
    <row r="69" spans="1:7" ht="15" customHeight="1" x14ac:dyDescent="0.3">
      <c r="A69" s="69" t="s">
        <v>315</v>
      </c>
      <c r="B69" s="68" t="s">
        <v>316</v>
      </c>
      <c r="C69" s="73">
        <v>100000</v>
      </c>
      <c r="D69" s="73"/>
      <c r="E69" s="95"/>
      <c r="F69" s="95">
        <v>25000</v>
      </c>
      <c r="G69" s="73">
        <f>C69+F69</f>
        <v>125000</v>
      </c>
    </row>
    <row r="70" spans="1:7" ht="15" customHeight="1" x14ac:dyDescent="0.3">
      <c r="A70" s="69" t="s">
        <v>317</v>
      </c>
      <c r="B70" s="69" t="s">
        <v>318</v>
      </c>
      <c r="C70" s="73">
        <f>C71</f>
        <v>420000</v>
      </c>
      <c r="D70" s="73"/>
      <c r="E70" s="95"/>
      <c r="F70" s="95">
        <f>F71</f>
        <v>0</v>
      </c>
      <c r="G70" s="73">
        <f>C70+F70</f>
        <v>420000</v>
      </c>
    </row>
    <row r="71" spans="1:7" ht="15" customHeight="1" x14ac:dyDescent="0.3">
      <c r="A71" s="69" t="s">
        <v>319</v>
      </c>
      <c r="B71" s="69" t="s">
        <v>320</v>
      </c>
      <c r="C71" s="73">
        <v>420000</v>
      </c>
      <c r="D71" s="73"/>
      <c r="E71" s="95"/>
      <c r="F71" s="95">
        <v>0</v>
      </c>
      <c r="G71" s="73">
        <f>C71+F71</f>
        <v>420000</v>
      </c>
    </row>
    <row r="72" spans="1:7" ht="47.1" customHeight="1" x14ac:dyDescent="0.3">
      <c r="A72" s="70" t="s">
        <v>321</v>
      </c>
      <c r="B72" s="71" t="s">
        <v>322</v>
      </c>
      <c r="C72" s="72"/>
      <c r="D72" s="72"/>
      <c r="E72" s="94">
        <f>E73+E74</f>
        <v>15865</v>
      </c>
      <c r="F72" s="94"/>
      <c r="G72" s="72">
        <f>E72</f>
        <v>15865</v>
      </c>
    </row>
    <row r="73" spans="1:7" ht="30.6" customHeight="1" x14ac:dyDescent="0.3">
      <c r="A73" s="69" t="s">
        <v>538</v>
      </c>
      <c r="B73" s="68" t="s">
        <v>772</v>
      </c>
      <c r="C73" s="72"/>
      <c r="D73" s="72"/>
      <c r="E73" s="95">
        <v>8000</v>
      </c>
      <c r="F73" s="95"/>
      <c r="G73" s="73">
        <f>E73</f>
        <v>8000</v>
      </c>
    </row>
    <row r="74" spans="1:7" ht="30.6" customHeight="1" x14ac:dyDescent="0.3">
      <c r="A74" s="69"/>
      <c r="B74" s="91" t="s">
        <v>685</v>
      </c>
      <c r="C74" s="72"/>
      <c r="D74" s="72"/>
      <c r="E74" s="95">
        <v>7865</v>
      </c>
      <c r="F74" s="95"/>
      <c r="G74" s="73">
        <f>E74</f>
        <v>7865</v>
      </c>
    </row>
    <row r="75" spans="1:7" ht="23.25" customHeight="1" x14ac:dyDescent="0.3">
      <c r="A75" s="70" t="s">
        <v>324</v>
      </c>
      <c r="B75" s="70" t="s">
        <v>325</v>
      </c>
      <c r="C75" s="72"/>
      <c r="D75" s="72"/>
      <c r="E75" s="94">
        <f>E76+E139+E120</f>
        <v>21897638</v>
      </c>
      <c r="F75" s="94">
        <f>F76+F139+F120</f>
        <v>837029</v>
      </c>
      <c r="G75" s="72">
        <f>E75+F75</f>
        <v>22734667</v>
      </c>
    </row>
    <row r="76" spans="1:7" ht="30" customHeight="1" x14ac:dyDescent="0.3">
      <c r="A76" s="70" t="s">
        <v>326</v>
      </c>
      <c r="B76" s="71" t="s">
        <v>327</v>
      </c>
      <c r="C76" s="72"/>
      <c r="D76" s="72"/>
      <c r="E76" s="94">
        <f>SUM(E77:E110)-E93</f>
        <v>11406011</v>
      </c>
      <c r="F76" s="94">
        <f>SUM(F77:F119)-F93</f>
        <v>267549</v>
      </c>
      <c r="G76" s="72">
        <f>E76+F76</f>
        <v>11673560</v>
      </c>
    </row>
    <row r="77" spans="1:7" ht="34.5" customHeight="1" x14ac:dyDescent="0.3">
      <c r="A77" s="69"/>
      <c r="B77" s="68" t="s">
        <v>707</v>
      </c>
      <c r="C77" s="72"/>
      <c r="D77" s="72"/>
      <c r="E77" s="95">
        <v>581097</v>
      </c>
      <c r="F77" s="95"/>
      <c r="G77" s="73">
        <f t="shared" ref="G77:G87" si="8">E77</f>
        <v>581097</v>
      </c>
    </row>
    <row r="78" spans="1:7" ht="67.5" customHeight="1" x14ac:dyDescent="0.3">
      <c r="A78" s="69"/>
      <c r="B78" s="68" t="s">
        <v>328</v>
      </c>
      <c r="C78" s="73"/>
      <c r="D78" s="73"/>
      <c r="E78" s="95">
        <v>5350374</v>
      </c>
      <c r="F78" s="95"/>
      <c r="G78" s="73">
        <f t="shared" si="8"/>
        <v>5350374</v>
      </c>
    </row>
    <row r="79" spans="1:7" ht="76.5" customHeight="1" x14ac:dyDescent="0.3">
      <c r="A79" s="69"/>
      <c r="B79" s="68" t="s">
        <v>329</v>
      </c>
      <c r="C79" s="73"/>
      <c r="D79" s="73"/>
      <c r="E79" s="95">
        <v>321564</v>
      </c>
      <c r="F79" s="95"/>
      <c r="G79" s="73">
        <f t="shared" si="8"/>
        <v>321564</v>
      </c>
    </row>
    <row r="80" spans="1:7" ht="45" customHeight="1" x14ac:dyDescent="0.3">
      <c r="A80" s="69"/>
      <c r="B80" s="68" t="s">
        <v>330</v>
      </c>
      <c r="C80" s="73"/>
      <c r="D80" s="73"/>
      <c r="E80" s="95">
        <v>284679</v>
      </c>
      <c r="F80" s="95"/>
      <c r="G80" s="73">
        <f t="shared" si="8"/>
        <v>284679</v>
      </c>
    </row>
    <row r="81" spans="1:7" ht="60" customHeight="1" x14ac:dyDescent="0.3">
      <c r="A81" s="69"/>
      <c r="B81" s="68" t="s">
        <v>331</v>
      </c>
      <c r="C81" s="73"/>
      <c r="D81" s="73"/>
      <c r="E81" s="95">
        <v>710883</v>
      </c>
      <c r="F81" s="95"/>
      <c r="G81" s="73">
        <f t="shared" si="8"/>
        <v>710883</v>
      </c>
    </row>
    <row r="82" spans="1:7" ht="38.25" customHeight="1" x14ac:dyDescent="0.3">
      <c r="A82" s="69"/>
      <c r="B82" s="68" t="s">
        <v>658</v>
      </c>
      <c r="C82" s="73"/>
      <c r="D82" s="73"/>
      <c r="E82" s="95">
        <v>15120</v>
      </c>
      <c r="F82" s="95"/>
      <c r="G82" s="73">
        <f t="shared" si="8"/>
        <v>15120</v>
      </c>
    </row>
    <row r="83" spans="1:7" ht="30" customHeight="1" x14ac:dyDescent="0.3">
      <c r="A83" s="69"/>
      <c r="B83" s="68" t="s">
        <v>332</v>
      </c>
      <c r="C83" s="73"/>
      <c r="D83" s="73"/>
      <c r="E83" s="95">
        <v>100980</v>
      </c>
      <c r="F83" s="95"/>
      <c r="G83" s="73">
        <f t="shared" si="8"/>
        <v>100980</v>
      </c>
    </row>
    <row r="84" spans="1:7" ht="15" customHeight="1" x14ac:dyDescent="0.3">
      <c r="A84" s="69"/>
      <c r="B84" s="68" t="s">
        <v>333</v>
      </c>
      <c r="C84" s="73"/>
      <c r="D84" s="73"/>
      <c r="E84" s="95">
        <v>1033047</v>
      </c>
      <c r="F84" s="95"/>
      <c r="G84" s="73">
        <f t="shared" si="8"/>
        <v>1033047</v>
      </c>
    </row>
    <row r="85" spans="1:7" ht="15" customHeight="1" x14ac:dyDescent="0.3">
      <c r="A85" s="69"/>
      <c r="B85" s="69" t="s">
        <v>334</v>
      </c>
      <c r="C85" s="73"/>
      <c r="D85" s="73"/>
      <c r="E85" s="95">
        <v>393455</v>
      </c>
      <c r="F85" s="95"/>
      <c r="G85" s="73">
        <f t="shared" si="8"/>
        <v>393455</v>
      </c>
    </row>
    <row r="86" spans="1:7" ht="15" customHeight="1" x14ac:dyDescent="0.3">
      <c r="A86" s="69"/>
      <c r="B86" s="69" t="s">
        <v>335</v>
      </c>
      <c r="C86" s="73"/>
      <c r="D86" s="73"/>
      <c r="E86" s="95">
        <v>783113</v>
      </c>
      <c r="F86" s="95"/>
      <c r="G86" s="73">
        <f t="shared" si="8"/>
        <v>783113</v>
      </c>
    </row>
    <row r="87" spans="1:7" ht="30" customHeight="1" x14ac:dyDescent="0.3">
      <c r="A87" s="69"/>
      <c r="B87" s="68" t="s">
        <v>773</v>
      </c>
      <c r="C87" s="73"/>
      <c r="D87" s="73"/>
      <c r="E87" s="95">
        <v>164527</v>
      </c>
      <c r="F87" s="200"/>
      <c r="G87" s="139">
        <f t="shared" si="8"/>
        <v>164527</v>
      </c>
    </row>
    <row r="88" spans="1:7" ht="30" customHeight="1" x14ac:dyDescent="0.3">
      <c r="A88" s="69"/>
      <c r="B88" s="68" t="s">
        <v>727</v>
      </c>
      <c r="C88" s="73"/>
      <c r="D88" s="73"/>
      <c r="E88" s="95"/>
      <c r="F88" s="200">
        <v>66827</v>
      </c>
      <c r="G88" s="139">
        <f>E88+F88</f>
        <v>66827</v>
      </c>
    </row>
    <row r="89" spans="1:7" ht="45" customHeight="1" x14ac:dyDescent="0.3">
      <c r="A89" s="69"/>
      <c r="B89" s="68" t="s">
        <v>336</v>
      </c>
      <c r="C89" s="73"/>
      <c r="D89" s="73"/>
      <c r="E89" s="95">
        <v>68526</v>
      </c>
      <c r="F89" s="200"/>
      <c r="G89" s="139">
        <f>E89</f>
        <v>68526</v>
      </c>
    </row>
    <row r="90" spans="1:7" ht="30" customHeight="1" x14ac:dyDescent="0.3">
      <c r="A90" s="69"/>
      <c r="B90" s="68" t="s">
        <v>339</v>
      </c>
      <c r="C90" s="73"/>
      <c r="D90" s="73"/>
      <c r="E90" s="95">
        <v>27500</v>
      </c>
      <c r="F90" s="200"/>
      <c r="G90" s="139">
        <f>E90</f>
        <v>27500</v>
      </c>
    </row>
    <row r="91" spans="1:7" ht="15" customHeight="1" x14ac:dyDescent="0.3">
      <c r="A91" s="69"/>
      <c r="B91" s="68" t="s">
        <v>726</v>
      </c>
      <c r="C91" s="73"/>
      <c r="D91" s="73"/>
      <c r="E91" s="200">
        <v>0</v>
      </c>
      <c r="F91" s="200">
        <v>35246</v>
      </c>
      <c r="G91" s="139">
        <f>F91</f>
        <v>35246</v>
      </c>
    </row>
    <row r="92" spans="1:7" ht="30" customHeight="1" x14ac:dyDescent="0.3">
      <c r="A92" s="69"/>
      <c r="B92" s="68" t="s">
        <v>547</v>
      </c>
      <c r="C92" s="73"/>
      <c r="D92" s="73"/>
      <c r="E92" s="95">
        <v>201858</v>
      </c>
      <c r="F92" s="200"/>
      <c r="G92" s="139">
        <f t="shared" ref="G92:G107" si="9">E92</f>
        <v>201858</v>
      </c>
    </row>
    <row r="93" spans="1:7" ht="15" customHeight="1" x14ac:dyDescent="0.3">
      <c r="A93" s="69"/>
      <c r="B93" s="69" t="s">
        <v>637</v>
      </c>
      <c r="C93" s="73"/>
      <c r="D93" s="73"/>
      <c r="E93" s="95">
        <f>SUM(E94:E101)</f>
        <v>120744</v>
      </c>
      <c r="F93" s="200"/>
      <c r="G93" s="139">
        <f t="shared" si="9"/>
        <v>120744</v>
      </c>
    </row>
    <row r="94" spans="1:7" s="67" customFormat="1" ht="15" customHeight="1" x14ac:dyDescent="0.3">
      <c r="A94" s="87"/>
      <c r="B94" s="87" t="s">
        <v>186</v>
      </c>
      <c r="C94" s="77"/>
      <c r="D94" s="77"/>
      <c r="E94" s="96">
        <v>15093</v>
      </c>
      <c r="F94" s="204"/>
      <c r="G94" s="205">
        <f t="shared" si="9"/>
        <v>15093</v>
      </c>
    </row>
    <row r="95" spans="1:7" s="67" customFormat="1" ht="15" customHeight="1" x14ac:dyDescent="0.3">
      <c r="A95" s="87"/>
      <c r="B95" s="87" t="s">
        <v>187</v>
      </c>
      <c r="C95" s="77"/>
      <c r="D95" s="77"/>
      <c r="E95" s="96">
        <v>15093</v>
      </c>
      <c r="F95" s="204"/>
      <c r="G95" s="205">
        <f t="shared" si="9"/>
        <v>15093</v>
      </c>
    </row>
    <row r="96" spans="1:7" s="67" customFormat="1" ht="15" customHeight="1" x14ac:dyDescent="0.3">
      <c r="A96" s="87"/>
      <c r="B96" s="87" t="s">
        <v>190</v>
      </c>
      <c r="C96" s="77"/>
      <c r="D96" s="77"/>
      <c r="E96" s="96">
        <v>15093</v>
      </c>
      <c r="F96" s="204"/>
      <c r="G96" s="205">
        <f t="shared" si="9"/>
        <v>15093</v>
      </c>
    </row>
    <row r="97" spans="1:7" s="67" customFormat="1" ht="15" customHeight="1" x14ac:dyDescent="0.3">
      <c r="A97" s="87"/>
      <c r="B97" s="87" t="s">
        <v>191</v>
      </c>
      <c r="C97" s="77"/>
      <c r="D97" s="77"/>
      <c r="E97" s="96">
        <v>15093</v>
      </c>
      <c r="F97" s="204"/>
      <c r="G97" s="205">
        <f t="shared" si="9"/>
        <v>15093</v>
      </c>
    </row>
    <row r="98" spans="1:7" s="67" customFormat="1" ht="15" customHeight="1" x14ac:dyDescent="0.3">
      <c r="A98" s="87"/>
      <c r="B98" s="87" t="s">
        <v>188</v>
      </c>
      <c r="C98" s="77"/>
      <c r="D98" s="77"/>
      <c r="E98" s="96">
        <v>15093</v>
      </c>
      <c r="F98" s="204"/>
      <c r="G98" s="205">
        <f t="shared" si="9"/>
        <v>15093</v>
      </c>
    </row>
    <row r="99" spans="1:7" s="67" customFormat="1" ht="15" customHeight="1" x14ac:dyDescent="0.3">
      <c r="A99" s="87"/>
      <c r="B99" s="87" t="s">
        <v>626</v>
      </c>
      <c r="C99" s="77"/>
      <c r="D99" s="77"/>
      <c r="E99" s="96">
        <v>15093</v>
      </c>
      <c r="F99" s="204"/>
      <c r="G99" s="205">
        <f t="shared" si="9"/>
        <v>15093</v>
      </c>
    </row>
    <row r="100" spans="1:7" s="67" customFormat="1" ht="15" customHeight="1" x14ac:dyDescent="0.3">
      <c r="A100" s="87"/>
      <c r="B100" s="87" t="s">
        <v>189</v>
      </c>
      <c r="C100" s="77"/>
      <c r="D100" s="77"/>
      <c r="E100" s="96">
        <v>15093</v>
      </c>
      <c r="F100" s="204"/>
      <c r="G100" s="205">
        <f t="shared" si="9"/>
        <v>15093</v>
      </c>
    </row>
    <row r="101" spans="1:7" s="67" customFormat="1" ht="15" customHeight="1" x14ac:dyDescent="0.3">
      <c r="A101" s="87"/>
      <c r="B101" s="87" t="s">
        <v>625</v>
      </c>
      <c r="C101" s="77"/>
      <c r="D101" s="77"/>
      <c r="E101" s="96">
        <v>15093</v>
      </c>
      <c r="F101" s="204"/>
      <c r="G101" s="205">
        <f t="shared" si="9"/>
        <v>15093</v>
      </c>
    </row>
    <row r="102" spans="1:7" ht="15" customHeight="1" x14ac:dyDescent="0.3">
      <c r="A102" s="69"/>
      <c r="B102" s="87" t="s">
        <v>112</v>
      </c>
      <c r="C102" s="73"/>
      <c r="D102" s="73"/>
      <c r="E102" s="96">
        <v>30533</v>
      </c>
      <c r="F102" s="204"/>
      <c r="G102" s="205">
        <f t="shared" si="9"/>
        <v>30533</v>
      </c>
    </row>
    <row r="103" spans="1:7" ht="30" customHeight="1" x14ac:dyDescent="0.3">
      <c r="A103" s="69"/>
      <c r="B103" s="68" t="s">
        <v>340</v>
      </c>
      <c r="C103" s="73"/>
      <c r="D103" s="73"/>
      <c r="E103" s="95">
        <v>778685</v>
      </c>
      <c r="F103" s="95"/>
      <c r="G103" s="73">
        <f t="shared" si="9"/>
        <v>778685</v>
      </c>
    </row>
    <row r="104" spans="1:7" ht="45" customHeight="1" x14ac:dyDescent="0.3">
      <c r="A104" s="69"/>
      <c r="B104" s="68" t="s">
        <v>774</v>
      </c>
      <c r="C104" s="73"/>
      <c r="D104" s="73"/>
      <c r="E104" s="95">
        <v>13752</v>
      </c>
      <c r="F104" s="95"/>
      <c r="G104" s="73">
        <f t="shared" si="9"/>
        <v>13752</v>
      </c>
    </row>
    <row r="105" spans="1:7" ht="34.5" customHeight="1" x14ac:dyDescent="0.3">
      <c r="A105" s="69"/>
      <c r="B105" s="92" t="s">
        <v>483</v>
      </c>
      <c r="C105" s="73"/>
      <c r="D105" s="73"/>
      <c r="E105" s="95">
        <v>34128</v>
      </c>
      <c r="F105" s="95"/>
      <c r="G105" s="73">
        <f t="shared" si="9"/>
        <v>34128</v>
      </c>
    </row>
    <row r="106" spans="1:7" ht="30" customHeight="1" x14ac:dyDescent="0.3">
      <c r="A106" s="69"/>
      <c r="B106" s="92" t="s">
        <v>486</v>
      </c>
      <c r="C106" s="73"/>
      <c r="D106" s="73"/>
      <c r="E106" s="95">
        <v>15800</v>
      </c>
      <c r="F106" s="95"/>
      <c r="G106" s="73">
        <f t="shared" si="9"/>
        <v>15800</v>
      </c>
    </row>
    <row r="107" spans="1:7" ht="48" customHeight="1" x14ac:dyDescent="0.3">
      <c r="A107" s="69"/>
      <c r="B107" s="92" t="s">
        <v>775</v>
      </c>
      <c r="C107" s="73"/>
      <c r="D107" s="73"/>
      <c r="E107" s="95">
        <v>66081</v>
      </c>
      <c r="F107" s="95"/>
      <c r="G107" s="73">
        <f t="shared" si="9"/>
        <v>66081</v>
      </c>
    </row>
    <row r="108" spans="1:7" ht="51" customHeight="1" x14ac:dyDescent="0.3">
      <c r="A108" s="69"/>
      <c r="B108" s="75" t="s">
        <v>636</v>
      </c>
      <c r="C108" s="73"/>
      <c r="D108" s="73"/>
      <c r="E108" s="95">
        <v>18531</v>
      </c>
      <c r="F108" s="95"/>
      <c r="G108" s="73">
        <f t="shared" ref="G108:G121" si="10">E108</f>
        <v>18531</v>
      </c>
    </row>
    <row r="109" spans="1:7" s="65" customFormat="1" ht="21.75" customHeight="1" x14ac:dyDescent="0.3">
      <c r="A109" s="69"/>
      <c r="B109" s="92" t="s">
        <v>341</v>
      </c>
      <c r="C109" s="73"/>
      <c r="D109" s="73"/>
      <c r="E109" s="95">
        <v>291034</v>
      </c>
      <c r="F109" s="95"/>
      <c r="G109" s="73">
        <f t="shared" si="10"/>
        <v>291034</v>
      </c>
    </row>
    <row r="110" spans="1:7" s="65" customFormat="1" ht="21.75" customHeight="1" x14ac:dyDescent="0.3">
      <c r="A110" s="69"/>
      <c r="B110" s="92" t="s">
        <v>731</v>
      </c>
      <c r="C110" s="73"/>
      <c r="D110" s="73"/>
      <c r="E110" s="95"/>
      <c r="F110" s="200">
        <v>128504</v>
      </c>
      <c r="G110" s="139">
        <f>E110+F110</f>
        <v>128504</v>
      </c>
    </row>
    <row r="111" spans="1:7" s="65" customFormat="1" ht="54" customHeight="1" x14ac:dyDescent="0.3">
      <c r="A111" s="69"/>
      <c r="B111" s="92" t="s">
        <v>732</v>
      </c>
      <c r="C111" s="73"/>
      <c r="D111" s="73"/>
      <c r="E111" s="95"/>
      <c r="F111" s="95">
        <v>15000</v>
      </c>
      <c r="G111" s="73">
        <f>E111+F111</f>
        <v>15000</v>
      </c>
    </row>
    <row r="112" spans="1:7" s="65" customFormat="1" ht="36.75" customHeight="1" x14ac:dyDescent="0.3">
      <c r="A112" s="69"/>
      <c r="B112" s="92" t="s">
        <v>733</v>
      </c>
      <c r="C112" s="73"/>
      <c r="D112" s="73"/>
      <c r="E112" s="95"/>
      <c r="F112" s="95">
        <v>700</v>
      </c>
      <c r="G112" s="73">
        <f t="shared" ref="G112:G119" si="11">E112+F112</f>
        <v>700</v>
      </c>
    </row>
    <row r="113" spans="1:7" s="65" customFormat="1" ht="33.75" customHeight="1" x14ac:dyDescent="0.3">
      <c r="A113" s="69"/>
      <c r="B113" s="92" t="s">
        <v>734</v>
      </c>
      <c r="C113" s="73"/>
      <c r="D113" s="73"/>
      <c r="E113" s="95"/>
      <c r="F113" s="95">
        <v>880</v>
      </c>
      <c r="G113" s="73">
        <f t="shared" si="11"/>
        <v>880</v>
      </c>
    </row>
    <row r="114" spans="1:7" s="65" customFormat="1" ht="33.75" customHeight="1" x14ac:dyDescent="0.3">
      <c r="A114" s="69"/>
      <c r="B114" s="92" t="s">
        <v>735</v>
      </c>
      <c r="C114" s="73"/>
      <c r="D114" s="73"/>
      <c r="E114" s="95"/>
      <c r="F114" s="95">
        <v>1500</v>
      </c>
      <c r="G114" s="73">
        <f t="shared" si="11"/>
        <v>1500</v>
      </c>
    </row>
    <row r="115" spans="1:7" s="65" customFormat="1" ht="33.75" customHeight="1" x14ac:dyDescent="0.3">
      <c r="A115" s="69"/>
      <c r="B115" s="92" t="s">
        <v>736</v>
      </c>
      <c r="C115" s="73"/>
      <c r="D115" s="73"/>
      <c r="E115" s="95"/>
      <c r="F115" s="95">
        <v>2400</v>
      </c>
      <c r="G115" s="73">
        <f t="shared" si="11"/>
        <v>2400</v>
      </c>
    </row>
    <row r="116" spans="1:7" s="65" customFormat="1" ht="49.5" customHeight="1" x14ac:dyDescent="0.3">
      <c r="A116" s="69"/>
      <c r="B116" s="92" t="s">
        <v>737</v>
      </c>
      <c r="C116" s="73"/>
      <c r="D116" s="73"/>
      <c r="E116" s="95"/>
      <c r="F116" s="95">
        <v>10000</v>
      </c>
      <c r="G116" s="73">
        <f t="shared" si="11"/>
        <v>10000</v>
      </c>
    </row>
    <row r="117" spans="1:7" s="65" customFormat="1" ht="49.5" customHeight="1" x14ac:dyDescent="0.3">
      <c r="A117" s="69"/>
      <c r="B117" s="92" t="s">
        <v>738</v>
      </c>
      <c r="C117" s="73"/>
      <c r="D117" s="73"/>
      <c r="E117" s="95"/>
      <c r="F117" s="95">
        <v>5000</v>
      </c>
      <c r="G117" s="73">
        <f t="shared" si="11"/>
        <v>5000</v>
      </c>
    </row>
    <row r="118" spans="1:7" s="65" customFormat="1" ht="26.25" customHeight="1" x14ac:dyDescent="0.3">
      <c r="A118" s="69"/>
      <c r="B118" s="92" t="s">
        <v>752</v>
      </c>
      <c r="C118" s="73"/>
      <c r="D118" s="73"/>
      <c r="E118" s="95"/>
      <c r="F118" s="95">
        <v>750</v>
      </c>
      <c r="G118" s="73">
        <f t="shared" si="11"/>
        <v>750</v>
      </c>
    </row>
    <row r="119" spans="1:7" s="65" customFormat="1" ht="34.5" customHeight="1" x14ac:dyDescent="0.3">
      <c r="A119" s="69"/>
      <c r="B119" s="92" t="s">
        <v>747</v>
      </c>
      <c r="C119" s="73"/>
      <c r="D119" s="73"/>
      <c r="E119" s="95"/>
      <c r="F119" s="95">
        <v>742</v>
      </c>
      <c r="G119" s="73">
        <f t="shared" si="11"/>
        <v>742</v>
      </c>
    </row>
    <row r="120" spans="1:7" ht="69.75" customHeight="1" x14ac:dyDescent="0.3">
      <c r="A120" s="70" t="s">
        <v>342</v>
      </c>
      <c r="B120" s="71" t="s">
        <v>343</v>
      </c>
      <c r="C120" s="72"/>
      <c r="D120" s="72">
        <f>SUM(D121:D132)</f>
        <v>0</v>
      </c>
      <c r="E120" s="94">
        <f>SUM(E121:E135)</f>
        <v>3155145</v>
      </c>
      <c r="F120" s="94">
        <f>SUM(F121:F138)</f>
        <v>295660</v>
      </c>
      <c r="G120" s="72">
        <f>E120+F120</f>
        <v>3450805</v>
      </c>
    </row>
    <row r="121" spans="1:7" ht="26.25" customHeight="1" x14ac:dyDescent="0.3">
      <c r="A121" s="69"/>
      <c r="B121" s="68" t="s">
        <v>681</v>
      </c>
      <c r="C121" s="72"/>
      <c r="D121" s="73"/>
      <c r="E121" s="95">
        <v>8742</v>
      </c>
      <c r="F121" s="95"/>
      <c r="G121" s="73">
        <f t="shared" si="10"/>
        <v>8742</v>
      </c>
    </row>
    <row r="122" spans="1:7" ht="39" customHeight="1" x14ac:dyDescent="0.3">
      <c r="A122" s="69"/>
      <c r="B122" s="68" t="s">
        <v>692</v>
      </c>
      <c r="C122" s="72"/>
      <c r="D122" s="73"/>
      <c r="E122" s="95">
        <v>100000</v>
      </c>
      <c r="F122" s="95"/>
      <c r="G122" s="73">
        <f t="shared" ref="G122:G133" si="12">E122</f>
        <v>100000</v>
      </c>
    </row>
    <row r="123" spans="1:7" ht="28.5" customHeight="1" x14ac:dyDescent="0.3">
      <c r="A123" s="69"/>
      <c r="B123" s="68" t="s">
        <v>682</v>
      </c>
      <c r="C123" s="72"/>
      <c r="D123" s="73"/>
      <c r="E123" s="95">
        <v>612779</v>
      </c>
      <c r="F123" s="95"/>
      <c r="G123" s="73">
        <f t="shared" si="12"/>
        <v>612779</v>
      </c>
    </row>
    <row r="124" spans="1:7" ht="26.25" customHeight="1" x14ac:dyDescent="0.3">
      <c r="A124" s="69"/>
      <c r="B124" s="75" t="s">
        <v>684</v>
      </c>
      <c r="C124" s="72"/>
      <c r="D124" s="73"/>
      <c r="E124" s="95">
        <v>1382646</v>
      </c>
      <c r="F124" s="95"/>
      <c r="G124" s="73">
        <f t="shared" si="12"/>
        <v>1382646</v>
      </c>
    </row>
    <row r="125" spans="1:7" ht="32.25" customHeight="1" x14ac:dyDescent="0.3">
      <c r="A125" s="69"/>
      <c r="B125" s="75" t="s">
        <v>619</v>
      </c>
      <c r="C125" s="72"/>
      <c r="D125" s="73"/>
      <c r="E125" s="95">
        <v>5555</v>
      </c>
      <c r="F125" s="95"/>
      <c r="G125" s="73">
        <f t="shared" si="12"/>
        <v>5555</v>
      </c>
    </row>
    <row r="126" spans="1:7" ht="21.75" customHeight="1" x14ac:dyDescent="0.3">
      <c r="A126" s="69"/>
      <c r="B126" s="68" t="s">
        <v>618</v>
      </c>
      <c r="C126" s="72"/>
      <c r="D126" s="73"/>
      <c r="E126" s="95">
        <v>124000</v>
      </c>
      <c r="F126" s="95"/>
      <c r="G126" s="73">
        <f t="shared" si="12"/>
        <v>124000</v>
      </c>
    </row>
    <row r="127" spans="1:7" ht="21.75" customHeight="1" x14ac:dyDescent="0.3">
      <c r="A127" s="69"/>
      <c r="B127" s="68" t="s">
        <v>74</v>
      </c>
      <c r="C127" s="72"/>
      <c r="D127" s="73"/>
      <c r="E127" s="95">
        <v>41900</v>
      </c>
      <c r="F127" s="95"/>
      <c r="G127" s="73">
        <f t="shared" si="12"/>
        <v>41900</v>
      </c>
    </row>
    <row r="128" spans="1:7" ht="36.75" customHeight="1" x14ac:dyDescent="0.3">
      <c r="A128" s="69"/>
      <c r="B128" s="68" t="s">
        <v>708</v>
      </c>
      <c r="C128" s="72"/>
      <c r="D128" s="73"/>
      <c r="E128" s="95">
        <v>69176</v>
      </c>
      <c r="F128" s="95"/>
      <c r="G128" s="73">
        <f t="shared" si="12"/>
        <v>69176</v>
      </c>
    </row>
    <row r="129" spans="1:7" ht="36.75" customHeight="1" x14ac:dyDescent="0.3">
      <c r="A129" s="69"/>
      <c r="B129" s="68" t="s">
        <v>703</v>
      </c>
      <c r="C129" s="72"/>
      <c r="D129" s="73"/>
      <c r="E129" s="95">
        <v>41520</v>
      </c>
      <c r="F129" s="95"/>
      <c r="G129" s="73">
        <f t="shared" si="12"/>
        <v>41520</v>
      </c>
    </row>
    <row r="130" spans="1:7" ht="30" customHeight="1" x14ac:dyDescent="0.3">
      <c r="A130" s="69"/>
      <c r="B130" s="68" t="s">
        <v>702</v>
      </c>
      <c r="C130" s="72"/>
      <c r="D130" s="73"/>
      <c r="E130" s="95">
        <v>20000</v>
      </c>
      <c r="F130" s="95"/>
      <c r="G130" s="73">
        <f t="shared" si="12"/>
        <v>20000</v>
      </c>
    </row>
    <row r="131" spans="1:7" ht="50.25" customHeight="1" x14ac:dyDescent="0.3">
      <c r="A131" s="69"/>
      <c r="B131" s="68" t="s">
        <v>705</v>
      </c>
      <c r="C131" s="72"/>
      <c r="D131" s="73"/>
      <c r="E131" s="95">
        <v>10275</v>
      </c>
      <c r="F131" s="95"/>
      <c r="G131" s="73">
        <f t="shared" si="12"/>
        <v>10275</v>
      </c>
    </row>
    <row r="132" spans="1:7" ht="32.25" customHeight="1" x14ac:dyDescent="0.3">
      <c r="A132" s="69"/>
      <c r="B132" s="68" t="s">
        <v>617</v>
      </c>
      <c r="C132" s="72"/>
      <c r="D132" s="73"/>
      <c r="E132" s="95">
        <v>70000</v>
      </c>
      <c r="F132" s="95"/>
      <c r="G132" s="73">
        <f t="shared" si="12"/>
        <v>70000</v>
      </c>
    </row>
    <row r="133" spans="1:7" ht="56.25" customHeight="1" x14ac:dyDescent="0.3">
      <c r="A133" s="69"/>
      <c r="B133" s="68" t="s">
        <v>693</v>
      </c>
      <c r="C133" s="72"/>
      <c r="D133" s="73"/>
      <c r="E133" s="95">
        <v>668552</v>
      </c>
      <c r="F133" s="95"/>
      <c r="G133" s="73">
        <f t="shared" si="12"/>
        <v>668552</v>
      </c>
    </row>
    <row r="134" spans="1:7" ht="56.25" customHeight="1" x14ac:dyDescent="0.3">
      <c r="A134" s="69"/>
      <c r="B134" s="68" t="s">
        <v>730</v>
      </c>
      <c r="C134" s="72"/>
      <c r="D134" s="73"/>
      <c r="E134" s="95"/>
      <c r="F134" s="200">
        <v>175235</v>
      </c>
      <c r="G134" s="139">
        <f t="shared" ref="G134:G139" si="13">E134+F134</f>
        <v>175235</v>
      </c>
    </row>
    <row r="135" spans="1:7" ht="33.75" customHeight="1" x14ac:dyDescent="0.3">
      <c r="A135" s="69"/>
      <c r="B135" s="68" t="s">
        <v>782</v>
      </c>
      <c r="C135" s="72"/>
      <c r="D135" s="73"/>
      <c r="E135" s="95"/>
      <c r="F135" s="200">
        <v>36006</v>
      </c>
      <c r="G135" s="139">
        <f t="shared" si="13"/>
        <v>36006</v>
      </c>
    </row>
    <row r="136" spans="1:7" ht="56.25" customHeight="1" x14ac:dyDescent="0.3">
      <c r="A136" s="69"/>
      <c r="B136" s="68" t="s">
        <v>749</v>
      </c>
      <c r="C136" s="72"/>
      <c r="D136" s="73"/>
      <c r="E136" s="95"/>
      <c r="F136" s="200">
        <v>23637</v>
      </c>
      <c r="G136" s="139">
        <f t="shared" si="13"/>
        <v>23637</v>
      </c>
    </row>
    <row r="137" spans="1:7" ht="56.25" customHeight="1" x14ac:dyDescent="0.3">
      <c r="A137" s="69"/>
      <c r="B137" s="68" t="s">
        <v>754</v>
      </c>
      <c r="C137" s="72"/>
      <c r="D137" s="73"/>
      <c r="E137" s="95"/>
      <c r="F137" s="200">
        <v>46136</v>
      </c>
      <c r="G137" s="139">
        <f t="shared" si="13"/>
        <v>46136</v>
      </c>
    </row>
    <row r="138" spans="1:7" ht="41.25" customHeight="1" x14ac:dyDescent="0.3">
      <c r="A138" s="69"/>
      <c r="B138" s="68" t="s">
        <v>751</v>
      </c>
      <c r="C138" s="72"/>
      <c r="D138" s="73"/>
      <c r="E138" s="95"/>
      <c r="F138" s="200">
        <v>14646</v>
      </c>
      <c r="G138" s="139">
        <f t="shared" si="13"/>
        <v>14646</v>
      </c>
    </row>
    <row r="139" spans="1:7" s="65" customFormat="1" ht="33.75" customHeight="1" x14ac:dyDescent="0.3">
      <c r="A139" s="70" t="s">
        <v>344</v>
      </c>
      <c r="B139" s="71" t="s">
        <v>345</v>
      </c>
      <c r="C139" s="72"/>
      <c r="D139" s="72"/>
      <c r="E139" s="72">
        <v>7336482</v>
      </c>
      <c r="F139" s="206">
        <v>273820</v>
      </c>
      <c r="G139" s="206">
        <f t="shared" si="13"/>
        <v>7610302</v>
      </c>
    </row>
    <row r="140" spans="1:7" ht="30.75" customHeight="1" x14ac:dyDescent="0.3">
      <c r="A140" s="70" t="s">
        <v>492</v>
      </c>
      <c r="B140" s="71" t="s">
        <v>491</v>
      </c>
      <c r="C140" s="72"/>
      <c r="D140" s="72">
        <f>D141</f>
        <v>180000</v>
      </c>
      <c r="E140" s="94"/>
      <c r="F140" s="207"/>
      <c r="G140" s="206">
        <f>C140+D140+E140</f>
        <v>180000</v>
      </c>
    </row>
    <row r="141" spans="1:7" ht="21.75" customHeight="1" x14ac:dyDescent="0.3">
      <c r="A141" s="69" t="s">
        <v>493</v>
      </c>
      <c r="B141" s="68" t="s">
        <v>494</v>
      </c>
      <c r="C141" s="73"/>
      <c r="D141" s="73">
        <v>180000</v>
      </c>
      <c r="E141" s="95"/>
      <c r="F141" s="200"/>
      <c r="G141" s="139">
        <f>C141+D141+E141</f>
        <v>180000</v>
      </c>
    </row>
    <row r="142" spans="1:7" ht="30.75" customHeight="1" x14ac:dyDescent="0.3">
      <c r="A142" s="88" t="s">
        <v>541</v>
      </c>
      <c r="B142" s="70" t="s">
        <v>347</v>
      </c>
      <c r="C142" s="72"/>
      <c r="D142" s="72">
        <f>D143+D419</f>
        <v>4346887</v>
      </c>
      <c r="E142" s="94">
        <f>E143+E419</f>
        <v>0</v>
      </c>
      <c r="F142" s="207">
        <f>F143+F419</f>
        <v>19504</v>
      </c>
      <c r="G142" s="206">
        <f>D142</f>
        <v>4346887</v>
      </c>
    </row>
    <row r="143" spans="1:7" s="65" customFormat="1" ht="31.5" customHeight="1" x14ac:dyDescent="0.3">
      <c r="A143" s="70" t="s">
        <v>348</v>
      </c>
      <c r="B143" s="71" t="s">
        <v>349</v>
      </c>
      <c r="C143" s="72"/>
      <c r="D143" s="72">
        <f>D144+D161+D164+D239</f>
        <v>4341887</v>
      </c>
      <c r="E143" s="95"/>
      <c r="F143" s="207">
        <f>F144+F161+F164+F239</f>
        <v>2004</v>
      </c>
      <c r="G143" s="206">
        <f>D143+F143</f>
        <v>4343891</v>
      </c>
    </row>
    <row r="144" spans="1:7" s="65" customFormat="1" ht="15" customHeight="1" x14ac:dyDescent="0.3">
      <c r="A144" s="70" t="s">
        <v>350</v>
      </c>
      <c r="B144" s="70" t="s">
        <v>351</v>
      </c>
      <c r="C144" s="72"/>
      <c r="D144" s="72">
        <f>D145+D149</f>
        <v>167721</v>
      </c>
      <c r="E144" s="94"/>
      <c r="F144" s="207"/>
      <c r="G144" s="206">
        <f t="shared" ref="G144:G205" si="14">D144</f>
        <v>167721</v>
      </c>
    </row>
    <row r="145" spans="1:7" ht="15" customHeight="1" x14ac:dyDescent="0.3">
      <c r="A145" s="70" t="s">
        <v>352</v>
      </c>
      <c r="B145" s="70" t="s">
        <v>353</v>
      </c>
      <c r="C145" s="72"/>
      <c r="D145" s="72">
        <f>SUM(D146:D148)</f>
        <v>35320</v>
      </c>
      <c r="E145" s="94"/>
      <c r="F145" s="207"/>
      <c r="G145" s="206">
        <f t="shared" si="14"/>
        <v>35320</v>
      </c>
    </row>
    <row r="146" spans="1:7" ht="15" customHeight="1" x14ac:dyDescent="0.3">
      <c r="A146" s="69"/>
      <c r="B146" s="69" t="s">
        <v>354</v>
      </c>
      <c r="C146" s="73"/>
      <c r="D146" s="73">
        <v>11020</v>
      </c>
      <c r="E146" s="95"/>
      <c r="F146" s="95"/>
      <c r="G146" s="73">
        <f t="shared" si="14"/>
        <v>11020</v>
      </c>
    </row>
    <row r="147" spans="1:7" ht="15" customHeight="1" x14ac:dyDescent="0.3">
      <c r="A147" s="69"/>
      <c r="B147" s="69" t="s">
        <v>355</v>
      </c>
      <c r="C147" s="73"/>
      <c r="D147" s="73">
        <v>13500</v>
      </c>
      <c r="E147" s="95"/>
      <c r="F147" s="95"/>
      <c r="G147" s="73">
        <f t="shared" si="14"/>
        <v>13500</v>
      </c>
    </row>
    <row r="148" spans="1:7" ht="15" customHeight="1" x14ac:dyDescent="0.3">
      <c r="A148" s="69"/>
      <c r="B148" s="69" t="s">
        <v>33</v>
      </c>
      <c r="C148" s="73"/>
      <c r="D148" s="73">
        <v>10800</v>
      </c>
      <c r="E148" s="95"/>
      <c r="F148" s="95"/>
      <c r="G148" s="73">
        <f t="shared" si="14"/>
        <v>10800</v>
      </c>
    </row>
    <row r="149" spans="1:7" ht="15" customHeight="1" x14ac:dyDescent="0.3">
      <c r="A149" s="70" t="s">
        <v>356</v>
      </c>
      <c r="B149" s="70" t="s">
        <v>357</v>
      </c>
      <c r="C149" s="72"/>
      <c r="D149" s="72">
        <f>SUM(D150:D160)</f>
        <v>132401</v>
      </c>
      <c r="E149" s="94"/>
      <c r="F149" s="94"/>
      <c r="G149" s="72">
        <f t="shared" si="14"/>
        <v>132401</v>
      </c>
    </row>
    <row r="150" spans="1:7" ht="15" customHeight="1" x14ac:dyDescent="0.3">
      <c r="A150" s="69"/>
      <c r="B150" s="69" t="s">
        <v>26</v>
      </c>
      <c r="C150" s="73"/>
      <c r="D150" s="73">
        <v>39240</v>
      </c>
      <c r="E150" s="95"/>
      <c r="F150" s="95"/>
      <c r="G150" s="73">
        <f t="shared" si="14"/>
        <v>39240</v>
      </c>
    </row>
    <row r="151" spans="1:7" ht="15" customHeight="1" x14ac:dyDescent="0.3">
      <c r="A151" s="69"/>
      <c r="B151" s="69" t="s">
        <v>27</v>
      </c>
      <c r="C151" s="73"/>
      <c r="D151" s="73">
        <v>27600</v>
      </c>
      <c r="E151" s="95"/>
      <c r="F151" s="95"/>
      <c r="G151" s="73">
        <f t="shared" si="14"/>
        <v>27600</v>
      </c>
    </row>
    <row r="152" spans="1:7" ht="15" customHeight="1" x14ac:dyDescent="0.3">
      <c r="A152" s="69"/>
      <c r="B152" s="69" t="s">
        <v>488</v>
      </c>
      <c r="C152" s="73"/>
      <c r="D152" s="73">
        <v>11100</v>
      </c>
      <c r="E152" s="95"/>
      <c r="F152" s="95"/>
      <c r="G152" s="73">
        <f t="shared" si="14"/>
        <v>11100</v>
      </c>
    </row>
    <row r="153" spans="1:7" ht="15" customHeight="1" x14ac:dyDescent="0.3">
      <c r="A153" s="69"/>
      <c r="B153" s="69" t="s">
        <v>28</v>
      </c>
      <c r="C153" s="73"/>
      <c r="D153" s="73">
        <v>5660</v>
      </c>
      <c r="E153" s="95"/>
      <c r="F153" s="95"/>
      <c r="G153" s="73">
        <f t="shared" si="14"/>
        <v>5660</v>
      </c>
    </row>
    <row r="154" spans="1:7" ht="15" customHeight="1" x14ac:dyDescent="0.3">
      <c r="A154" s="69"/>
      <c r="B154" s="69" t="s">
        <v>359</v>
      </c>
      <c r="C154" s="73"/>
      <c r="D154" s="73">
        <v>8991</v>
      </c>
      <c r="E154" s="95"/>
      <c r="F154" s="95"/>
      <c r="G154" s="73">
        <f t="shared" si="14"/>
        <v>8991</v>
      </c>
    </row>
    <row r="155" spans="1:7" ht="15" customHeight="1" x14ac:dyDescent="0.3">
      <c r="A155" s="69"/>
      <c r="B155" s="69" t="s">
        <v>506</v>
      </c>
      <c r="C155" s="73"/>
      <c r="D155" s="73">
        <v>2590</v>
      </c>
      <c r="E155" s="95"/>
      <c r="F155" s="95"/>
      <c r="G155" s="73">
        <f t="shared" si="14"/>
        <v>2590</v>
      </c>
    </row>
    <row r="156" spans="1:7" ht="15" customHeight="1" x14ac:dyDescent="0.3">
      <c r="A156" s="69"/>
      <c r="B156" s="69" t="s">
        <v>358</v>
      </c>
      <c r="C156" s="73"/>
      <c r="D156" s="73">
        <v>12650</v>
      </c>
      <c r="E156" s="95"/>
      <c r="F156" s="95"/>
      <c r="G156" s="73">
        <f t="shared" si="14"/>
        <v>12650</v>
      </c>
    </row>
    <row r="157" spans="1:7" ht="15" customHeight="1" x14ac:dyDescent="0.3">
      <c r="A157" s="69"/>
      <c r="B157" s="69" t="s">
        <v>553</v>
      </c>
      <c r="C157" s="73"/>
      <c r="D157" s="73">
        <v>4300</v>
      </c>
      <c r="E157" s="95"/>
      <c r="F157" s="95"/>
      <c r="G157" s="73">
        <f t="shared" si="14"/>
        <v>4300</v>
      </c>
    </row>
    <row r="158" spans="1:7" ht="15" customHeight="1" x14ac:dyDescent="0.3">
      <c r="A158" s="69"/>
      <c r="B158" s="69" t="s">
        <v>501</v>
      </c>
      <c r="C158" s="73"/>
      <c r="D158" s="73">
        <v>8880</v>
      </c>
      <c r="E158" s="95"/>
      <c r="F158" s="95"/>
      <c r="G158" s="73">
        <f t="shared" si="14"/>
        <v>8880</v>
      </c>
    </row>
    <row r="159" spans="1:7" ht="15" customHeight="1" x14ac:dyDescent="0.3">
      <c r="A159" s="69"/>
      <c r="B159" s="69" t="s">
        <v>510</v>
      </c>
      <c r="C159" s="73"/>
      <c r="D159" s="73">
        <v>1400</v>
      </c>
      <c r="E159" s="95"/>
      <c r="F159" s="95"/>
      <c r="G159" s="73">
        <f t="shared" si="14"/>
        <v>1400</v>
      </c>
    </row>
    <row r="160" spans="1:7" ht="15" customHeight="1" x14ac:dyDescent="0.3">
      <c r="A160" s="69"/>
      <c r="B160" s="69" t="s">
        <v>511</v>
      </c>
      <c r="C160" s="73"/>
      <c r="D160" s="73">
        <v>9990</v>
      </c>
      <c r="E160" s="95"/>
      <c r="F160" s="95"/>
      <c r="G160" s="73">
        <f t="shared" si="14"/>
        <v>9990</v>
      </c>
    </row>
    <row r="161" spans="1:7" s="65" customFormat="1" ht="30" customHeight="1" x14ac:dyDescent="0.3">
      <c r="A161" s="70" t="s">
        <v>360</v>
      </c>
      <c r="B161" s="71" t="s">
        <v>361</v>
      </c>
      <c r="C161" s="72"/>
      <c r="D161" s="72">
        <f>D162</f>
        <v>1850</v>
      </c>
      <c r="E161" s="94"/>
      <c r="F161" s="94"/>
      <c r="G161" s="72">
        <f t="shared" si="14"/>
        <v>1850</v>
      </c>
    </row>
    <row r="162" spans="1:7" ht="31.5" customHeight="1" x14ac:dyDescent="0.3">
      <c r="A162" s="70" t="s">
        <v>362</v>
      </c>
      <c r="B162" s="71" t="s">
        <v>363</v>
      </c>
      <c r="C162" s="72"/>
      <c r="D162" s="72">
        <f>SUM(D163:D163)</f>
        <v>1850</v>
      </c>
      <c r="E162" s="94"/>
      <c r="F162" s="94"/>
      <c r="G162" s="72">
        <f t="shared" si="14"/>
        <v>1850</v>
      </c>
    </row>
    <row r="163" spans="1:7" s="65" customFormat="1" ht="20.25" customHeight="1" x14ac:dyDescent="0.3">
      <c r="A163" s="69"/>
      <c r="B163" s="68" t="s">
        <v>4</v>
      </c>
      <c r="C163" s="73"/>
      <c r="D163" s="73">
        <v>1850</v>
      </c>
      <c r="E163" s="95"/>
      <c r="F163" s="95"/>
      <c r="G163" s="73">
        <f t="shared" si="14"/>
        <v>1850</v>
      </c>
    </row>
    <row r="164" spans="1:7" s="65" customFormat="1" ht="25.5" customHeight="1" x14ac:dyDescent="0.3">
      <c r="A164" s="70" t="s">
        <v>364</v>
      </c>
      <c r="B164" s="70" t="s">
        <v>365</v>
      </c>
      <c r="C164" s="72"/>
      <c r="D164" s="72">
        <f>D165+D210+D215+D216</f>
        <v>777682</v>
      </c>
      <c r="E164" s="94"/>
      <c r="F164" s="94"/>
      <c r="G164" s="72">
        <f t="shared" si="14"/>
        <v>777682</v>
      </c>
    </row>
    <row r="165" spans="1:7" ht="28.5" customHeight="1" x14ac:dyDescent="0.3">
      <c r="A165" s="70" t="s">
        <v>366</v>
      </c>
      <c r="B165" s="71" t="s">
        <v>490</v>
      </c>
      <c r="C165" s="72"/>
      <c r="D165" s="72">
        <f>SUM(D166:D209)</f>
        <v>184536</v>
      </c>
      <c r="E165" s="94"/>
      <c r="F165" s="94"/>
      <c r="G165" s="72">
        <f t="shared" si="14"/>
        <v>184536</v>
      </c>
    </row>
    <row r="166" spans="1:7" ht="22.5" customHeight="1" x14ac:dyDescent="0.3">
      <c r="A166" s="69"/>
      <c r="B166" s="69" t="s">
        <v>367</v>
      </c>
      <c r="C166" s="73"/>
      <c r="D166" s="73">
        <v>97964</v>
      </c>
      <c r="E166" s="95"/>
      <c r="F166" s="95"/>
      <c r="G166" s="73">
        <f t="shared" si="14"/>
        <v>97964</v>
      </c>
    </row>
    <row r="167" spans="1:7" ht="21.75" customHeight="1" x14ac:dyDescent="0.3">
      <c r="A167" s="69"/>
      <c r="B167" s="69" t="s">
        <v>544</v>
      </c>
      <c r="C167" s="73"/>
      <c r="D167" s="73">
        <v>603</v>
      </c>
      <c r="E167" s="95"/>
      <c r="F167" s="95"/>
      <c r="G167" s="73">
        <f t="shared" si="14"/>
        <v>603</v>
      </c>
    </row>
    <row r="168" spans="1:7" ht="20.25" customHeight="1" x14ac:dyDescent="0.3">
      <c r="A168" s="69"/>
      <c r="B168" s="69" t="s">
        <v>570</v>
      </c>
      <c r="C168" s="73"/>
      <c r="D168" s="73">
        <v>340</v>
      </c>
      <c r="E168" s="95"/>
      <c r="F168" s="95"/>
      <c r="G168" s="73">
        <f t="shared" si="14"/>
        <v>340</v>
      </c>
    </row>
    <row r="169" spans="1:7" ht="21.75" customHeight="1" x14ac:dyDescent="0.3">
      <c r="A169" s="69"/>
      <c r="B169" s="75" t="s">
        <v>571</v>
      </c>
      <c r="C169" s="73"/>
      <c r="D169" s="73">
        <v>11657</v>
      </c>
      <c r="E169" s="95"/>
      <c r="F169" s="95"/>
      <c r="G169" s="73">
        <f t="shared" si="14"/>
        <v>11657</v>
      </c>
    </row>
    <row r="170" spans="1:7" ht="20.25" customHeight="1" x14ac:dyDescent="0.3">
      <c r="A170" s="69"/>
      <c r="B170" s="69" t="s">
        <v>9</v>
      </c>
      <c r="C170" s="73"/>
      <c r="D170" s="73">
        <v>420</v>
      </c>
      <c r="E170" s="95"/>
      <c r="F170" s="95"/>
      <c r="G170" s="73">
        <f t="shared" si="14"/>
        <v>420</v>
      </c>
    </row>
    <row r="171" spans="1:7" ht="20.25" customHeight="1" x14ac:dyDescent="0.3">
      <c r="A171" s="69"/>
      <c r="B171" s="69" t="s">
        <v>10</v>
      </c>
      <c r="C171" s="73"/>
      <c r="D171" s="73">
        <f>477+312</f>
        <v>789</v>
      </c>
      <c r="E171" s="95"/>
      <c r="F171" s="95"/>
      <c r="G171" s="73">
        <f t="shared" si="14"/>
        <v>789</v>
      </c>
    </row>
    <row r="172" spans="1:7" ht="20.25" customHeight="1" x14ac:dyDescent="0.3">
      <c r="A172" s="69"/>
      <c r="B172" s="68" t="s">
        <v>12</v>
      </c>
      <c r="C172" s="73"/>
      <c r="D172" s="73">
        <v>800</v>
      </c>
      <c r="E172" s="95"/>
      <c r="F172" s="95"/>
      <c r="G172" s="73">
        <f t="shared" si="14"/>
        <v>800</v>
      </c>
    </row>
    <row r="173" spans="1:7" ht="21.75" customHeight="1" x14ac:dyDescent="0.3">
      <c r="A173" s="69"/>
      <c r="B173" s="68" t="s">
        <v>226</v>
      </c>
      <c r="C173" s="73"/>
      <c r="D173" s="73">
        <v>4000</v>
      </c>
      <c r="E173" s="95"/>
      <c r="F173" s="95"/>
      <c r="G173" s="73">
        <f t="shared" si="14"/>
        <v>4000</v>
      </c>
    </row>
    <row r="174" spans="1:7" ht="21" customHeight="1" x14ac:dyDescent="0.3">
      <c r="A174" s="69"/>
      <c r="B174" s="68" t="s">
        <v>83</v>
      </c>
      <c r="C174" s="73"/>
      <c r="D174" s="73">
        <v>1266</v>
      </c>
      <c r="E174" s="95"/>
      <c r="F174" s="95"/>
      <c r="G174" s="73">
        <f t="shared" si="14"/>
        <v>1266</v>
      </c>
    </row>
    <row r="175" spans="1:7" ht="21" customHeight="1" x14ac:dyDescent="0.3">
      <c r="A175" s="69"/>
      <c r="B175" s="68" t="s">
        <v>67</v>
      </c>
      <c r="C175" s="73"/>
      <c r="D175" s="73">
        <v>700</v>
      </c>
      <c r="E175" s="95"/>
      <c r="F175" s="95"/>
      <c r="G175" s="73">
        <f t="shared" si="14"/>
        <v>700</v>
      </c>
    </row>
    <row r="176" spans="1:7" ht="20.25" customHeight="1" x14ac:dyDescent="0.3">
      <c r="A176" s="69"/>
      <c r="B176" s="68" t="s">
        <v>516</v>
      </c>
      <c r="C176" s="73"/>
      <c r="D176" s="73">
        <v>2143</v>
      </c>
      <c r="E176" s="95"/>
      <c r="F176" s="95"/>
      <c r="G176" s="73">
        <f t="shared" si="14"/>
        <v>2143</v>
      </c>
    </row>
    <row r="177" spans="1:7" ht="18.75" customHeight="1" x14ac:dyDescent="0.3">
      <c r="A177" s="69"/>
      <c r="B177" s="68" t="s">
        <v>518</v>
      </c>
      <c r="C177" s="73"/>
      <c r="D177" s="73">
        <v>120</v>
      </c>
      <c r="E177" s="95"/>
      <c r="F177" s="95"/>
      <c r="G177" s="73">
        <f t="shared" si="14"/>
        <v>120</v>
      </c>
    </row>
    <row r="178" spans="1:7" ht="21" customHeight="1" x14ac:dyDescent="0.3">
      <c r="A178" s="69"/>
      <c r="B178" s="68" t="s">
        <v>84</v>
      </c>
      <c r="C178" s="73"/>
      <c r="D178" s="73">
        <v>2000</v>
      </c>
      <c r="E178" s="95"/>
      <c r="F178" s="95"/>
      <c r="G178" s="73">
        <f t="shared" si="14"/>
        <v>2000</v>
      </c>
    </row>
    <row r="179" spans="1:7" ht="30" customHeight="1" x14ac:dyDescent="0.3">
      <c r="A179" s="69"/>
      <c r="B179" s="68" t="s">
        <v>368</v>
      </c>
      <c r="C179" s="73"/>
      <c r="D179" s="73">
        <v>4550</v>
      </c>
      <c r="E179" s="95"/>
      <c r="F179" s="95"/>
      <c r="G179" s="73">
        <f t="shared" si="14"/>
        <v>4550</v>
      </c>
    </row>
    <row r="180" spans="1:7" ht="21" customHeight="1" x14ac:dyDescent="0.3">
      <c r="A180" s="69"/>
      <c r="B180" s="68" t="s">
        <v>59</v>
      </c>
      <c r="C180" s="73"/>
      <c r="D180" s="73">
        <v>3000</v>
      </c>
      <c r="E180" s="95"/>
      <c r="F180" s="95"/>
      <c r="G180" s="73">
        <f t="shared" si="14"/>
        <v>3000</v>
      </c>
    </row>
    <row r="181" spans="1:7" ht="21" customHeight="1" x14ac:dyDescent="0.3">
      <c r="A181" s="69"/>
      <c r="B181" s="68" t="s">
        <v>57</v>
      </c>
      <c r="C181" s="73"/>
      <c r="D181" s="73">
        <v>8726</v>
      </c>
      <c r="E181" s="95"/>
      <c r="F181" s="95"/>
      <c r="G181" s="73">
        <f t="shared" si="14"/>
        <v>8726</v>
      </c>
    </row>
    <row r="182" spans="1:7" ht="21" customHeight="1" x14ac:dyDescent="0.3">
      <c r="A182" s="69"/>
      <c r="B182" s="68" t="s">
        <v>88</v>
      </c>
      <c r="C182" s="73"/>
      <c r="D182" s="73">
        <v>140</v>
      </c>
      <c r="E182" s="95"/>
      <c r="F182" s="95"/>
      <c r="G182" s="73">
        <f t="shared" si="14"/>
        <v>140</v>
      </c>
    </row>
    <row r="183" spans="1:7" ht="21.75" customHeight="1" x14ac:dyDescent="0.3">
      <c r="A183" s="69"/>
      <c r="B183" s="68" t="s">
        <v>124</v>
      </c>
      <c r="C183" s="73"/>
      <c r="D183" s="73">
        <v>450</v>
      </c>
      <c r="E183" s="95"/>
      <c r="F183" s="95"/>
      <c r="G183" s="73">
        <f t="shared" si="14"/>
        <v>450</v>
      </c>
    </row>
    <row r="184" spans="1:7" ht="19.5" customHeight="1" x14ac:dyDescent="0.3">
      <c r="A184" s="69"/>
      <c r="B184" s="68" t="s">
        <v>200</v>
      </c>
      <c r="C184" s="73"/>
      <c r="D184" s="73">
        <v>50</v>
      </c>
      <c r="E184" s="95"/>
      <c r="F184" s="95"/>
      <c r="G184" s="73">
        <f t="shared" si="14"/>
        <v>50</v>
      </c>
    </row>
    <row r="185" spans="1:7" ht="21" customHeight="1" x14ac:dyDescent="0.3">
      <c r="A185" s="69"/>
      <c r="B185" s="68" t="s">
        <v>22</v>
      </c>
      <c r="C185" s="73"/>
      <c r="D185" s="73">
        <v>40</v>
      </c>
      <c r="E185" s="95"/>
      <c r="F185" s="95"/>
      <c r="G185" s="73">
        <f t="shared" si="14"/>
        <v>40</v>
      </c>
    </row>
    <row r="186" spans="1:7" ht="20.25" customHeight="1" x14ac:dyDescent="0.3">
      <c r="A186" s="69"/>
      <c r="B186" s="68" t="s">
        <v>23</v>
      </c>
      <c r="C186" s="73"/>
      <c r="D186" s="73">
        <v>700</v>
      </c>
      <c r="E186" s="95"/>
      <c r="F186" s="95"/>
      <c r="G186" s="73">
        <f t="shared" si="14"/>
        <v>700</v>
      </c>
    </row>
    <row r="187" spans="1:7" ht="17.25" customHeight="1" x14ac:dyDescent="0.3">
      <c r="A187" s="69"/>
      <c r="B187" s="68" t="s">
        <v>337</v>
      </c>
      <c r="C187" s="73"/>
      <c r="D187" s="73">
        <v>100</v>
      </c>
      <c r="E187" s="95"/>
      <c r="F187" s="95"/>
      <c r="G187" s="73">
        <f t="shared" si="14"/>
        <v>100</v>
      </c>
    </row>
    <row r="188" spans="1:7" ht="19.5" customHeight="1" x14ac:dyDescent="0.3">
      <c r="A188" s="69"/>
      <c r="B188" s="69" t="s">
        <v>91</v>
      </c>
      <c r="C188" s="73"/>
      <c r="D188" s="73">
        <v>100</v>
      </c>
      <c r="E188" s="95"/>
      <c r="F188" s="95"/>
      <c r="G188" s="73">
        <f t="shared" si="14"/>
        <v>100</v>
      </c>
    </row>
    <row r="189" spans="1:7" ht="21" customHeight="1" x14ac:dyDescent="0.3">
      <c r="A189" s="69"/>
      <c r="B189" s="68" t="s">
        <v>129</v>
      </c>
      <c r="C189" s="73"/>
      <c r="D189" s="73">
        <v>200</v>
      </c>
      <c r="E189" s="95"/>
      <c r="F189" s="95"/>
      <c r="G189" s="73">
        <f t="shared" si="14"/>
        <v>200</v>
      </c>
    </row>
    <row r="190" spans="1:7" ht="21" customHeight="1" x14ac:dyDescent="0.3">
      <c r="A190" s="69"/>
      <c r="B190" s="68" t="s">
        <v>121</v>
      </c>
      <c r="C190" s="73"/>
      <c r="D190" s="73">
        <v>50</v>
      </c>
      <c r="E190" s="95"/>
      <c r="F190" s="95"/>
      <c r="G190" s="73">
        <f t="shared" si="14"/>
        <v>50</v>
      </c>
    </row>
    <row r="191" spans="1:7" ht="22.5" customHeight="1" x14ac:dyDescent="0.3">
      <c r="A191" s="69"/>
      <c r="B191" s="68" t="s">
        <v>139</v>
      </c>
      <c r="C191" s="73"/>
      <c r="D191" s="73">
        <v>150</v>
      </c>
      <c r="E191" s="95"/>
      <c r="F191" s="95"/>
      <c r="G191" s="73">
        <f t="shared" si="14"/>
        <v>150</v>
      </c>
    </row>
    <row r="192" spans="1:7" ht="21.75" customHeight="1" x14ac:dyDescent="0.3">
      <c r="A192" s="69"/>
      <c r="B192" s="68" t="s">
        <v>338</v>
      </c>
      <c r="C192" s="73"/>
      <c r="D192" s="73">
        <v>120</v>
      </c>
      <c r="E192" s="95"/>
      <c r="F192" s="95"/>
      <c r="G192" s="73">
        <f t="shared" si="14"/>
        <v>120</v>
      </c>
    </row>
    <row r="193" spans="1:7" ht="15" customHeight="1" x14ac:dyDescent="0.3">
      <c r="A193" s="69"/>
      <c r="B193" s="68" t="s">
        <v>369</v>
      </c>
      <c r="C193" s="73"/>
      <c r="D193" s="73">
        <v>150</v>
      </c>
      <c r="E193" s="95"/>
      <c r="F193" s="95"/>
      <c r="G193" s="73">
        <f t="shared" si="14"/>
        <v>150</v>
      </c>
    </row>
    <row r="194" spans="1:7" ht="15" customHeight="1" x14ac:dyDescent="0.3">
      <c r="A194" s="69"/>
      <c r="B194" s="68" t="s">
        <v>90</v>
      </c>
      <c r="C194" s="73"/>
      <c r="D194" s="73">
        <v>850</v>
      </c>
      <c r="E194" s="95"/>
      <c r="F194" s="95"/>
      <c r="G194" s="73">
        <f t="shared" si="14"/>
        <v>850</v>
      </c>
    </row>
    <row r="195" spans="1:7" ht="15" customHeight="1" x14ac:dyDescent="0.3">
      <c r="A195" s="69"/>
      <c r="B195" s="68" t="s">
        <v>89</v>
      </c>
      <c r="C195" s="73"/>
      <c r="D195" s="73">
        <v>476</v>
      </c>
      <c r="E195" s="95"/>
      <c r="F195" s="95"/>
      <c r="G195" s="73">
        <f t="shared" si="14"/>
        <v>476</v>
      </c>
    </row>
    <row r="196" spans="1:7" ht="18.75" customHeight="1" x14ac:dyDescent="0.3">
      <c r="A196" s="69"/>
      <c r="B196" s="68" t="s">
        <v>92</v>
      </c>
      <c r="C196" s="73"/>
      <c r="D196" s="73">
        <v>500</v>
      </c>
      <c r="E196" s="95"/>
      <c r="F196" s="95"/>
      <c r="G196" s="73">
        <f t="shared" si="14"/>
        <v>500</v>
      </c>
    </row>
    <row r="197" spans="1:7" ht="18.75" customHeight="1" x14ac:dyDescent="0.3">
      <c r="A197" s="69"/>
      <c r="B197" s="68" t="s">
        <v>202</v>
      </c>
      <c r="C197" s="73"/>
      <c r="D197" s="73">
        <v>110</v>
      </c>
      <c r="E197" s="95"/>
      <c r="F197" s="95"/>
      <c r="G197" s="73">
        <f t="shared" si="14"/>
        <v>110</v>
      </c>
    </row>
    <row r="198" spans="1:7" ht="18.75" customHeight="1" x14ac:dyDescent="0.3">
      <c r="A198" s="69"/>
      <c r="B198" s="68" t="s">
        <v>390</v>
      </c>
      <c r="C198" s="73"/>
      <c r="D198" s="73">
        <v>50</v>
      </c>
      <c r="E198" s="95"/>
      <c r="F198" s="95"/>
      <c r="G198" s="73">
        <f t="shared" si="14"/>
        <v>50</v>
      </c>
    </row>
    <row r="199" spans="1:7" ht="24" customHeight="1" x14ac:dyDescent="0.3">
      <c r="A199" s="69"/>
      <c r="B199" s="68" t="s">
        <v>517</v>
      </c>
      <c r="C199" s="73"/>
      <c r="D199" s="73">
        <v>6000</v>
      </c>
      <c r="E199" s="95"/>
      <c r="F199" s="95"/>
      <c r="G199" s="73">
        <f t="shared" si="14"/>
        <v>6000</v>
      </c>
    </row>
    <row r="200" spans="1:7" ht="20.25" customHeight="1" x14ac:dyDescent="0.3">
      <c r="A200" s="69"/>
      <c r="B200" s="68" t="s">
        <v>551</v>
      </c>
      <c r="C200" s="73"/>
      <c r="D200" s="73">
        <v>3200</v>
      </c>
      <c r="E200" s="95"/>
      <c r="F200" s="95"/>
      <c r="G200" s="73">
        <f t="shared" si="14"/>
        <v>3200</v>
      </c>
    </row>
    <row r="201" spans="1:7" ht="15" customHeight="1" x14ac:dyDescent="0.3">
      <c r="A201" s="69"/>
      <c r="B201" s="68" t="s">
        <v>30</v>
      </c>
      <c r="C201" s="73"/>
      <c r="D201" s="73">
        <v>16039</v>
      </c>
      <c r="E201" s="95"/>
      <c r="F201" s="95"/>
      <c r="G201" s="73">
        <f t="shared" si="14"/>
        <v>16039</v>
      </c>
    </row>
    <row r="202" spans="1:7" ht="15" customHeight="1" x14ac:dyDescent="0.3">
      <c r="A202" s="69"/>
      <c r="B202" s="68" t="s">
        <v>508</v>
      </c>
      <c r="C202" s="73"/>
      <c r="D202" s="73">
        <v>2233</v>
      </c>
      <c r="E202" s="95"/>
      <c r="F202" s="95"/>
      <c r="G202" s="73">
        <f t="shared" si="14"/>
        <v>2233</v>
      </c>
    </row>
    <row r="203" spans="1:7" ht="15" customHeight="1" x14ac:dyDescent="0.3">
      <c r="A203" s="69"/>
      <c r="B203" s="68" t="s">
        <v>520</v>
      </c>
      <c r="C203" s="73"/>
      <c r="D203" s="73">
        <v>3800</v>
      </c>
      <c r="E203" s="95"/>
      <c r="F203" s="95"/>
      <c r="G203" s="73">
        <f t="shared" si="14"/>
        <v>3800</v>
      </c>
    </row>
    <row r="204" spans="1:7" ht="15" customHeight="1" x14ac:dyDescent="0.3">
      <c r="A204" s="69"/>
      <c r="B204" s="68" t="s">
        <v>100</v>
      </c>
      <c r="C204" s="73"/>
      <c r="D204" s="73">
        <v>207</v>
      </c>
      <c r="E204" s="95"/>
      <c r="F204" s="95"/>
      <c r="G204" s="73">
        <f t="shared" si="14"/>
        <v>207</v>
      </c>
    </row>
    <row r="205" spans="1:7" ht="15" customHeight="1" x14ac:dyDescent="0.3">
      <c r="A205" s="69"/>
      <c r="B205" s="68" t="s">
        <v>101</v>
      </c>
      <c r="C205" s="73"/>
      <c r="D205" s="73">
        <v>1000</v>
      </c>
      <c r="E205" s="95"/>
      <c r="F205" s="95"/>
      <c r="G205" s="73">
        <f t="shared" si="14"/>
        <v>1000</v>
      </c>
    </row>
    <row r="206" spans="1:7" ht="15" customHeight="1" x14ac:dyDescent="0.3">
      <c r="A206" s="69"/>
      <c r="B206" s="68" t="s">
        <v>215</v>
      </c>
      <c r="C206" s="73"/>
      <c r="D206" s="73">
        <v>552</v>
      </c>
      <c r="E206" s="95"/>
      <c r="F206" s="95"/>
      <c r="G206" s="73">
        <f t="shared" ref="G206:G269" si="15">D206</f>
        <v>552</v>
      </c>
    </row>
    <row r="207" spans="1:7" ht="17.25" customHeight="1" x14ac:dyDescent="0.3">
      <c r="A207" s="69"/>
      <c r="B207" s="68" t="s">
        <v>519</v>
      </c>
      <c r="C207" s="73"/>
      <c r="D207" s="73">
        <v>1746</v>
      </c>
      <c r="E207" s="95"/>
      <c r="F207" s="95"/>
      <c r="G207" s="73">
        <f t="shared" si="15"/>
        <v>1746</v>
      </c>
    </row>
    <row r="208" spans="1:7" ht="15" customHeight="1" x14ac:dyDescent="0.3">
      <c r="A208" s="69"/>
      <c r="B208" s="68" t="s">
        <v>109</v>
      </c>
      <c r="C208" s="73"/>
      <c r="D208" s="73">
        <v>877</v>
      </c>
      <c r="E208" s="95"/>
      <c r="F208" s="95"/>
      <c r="G208" s="73">
        <f t="shared" si="15"/>
        <v>877</v>
      </c>
    </row>
    <row r="209" spans="1:7" ht="15" customHeight="1" x14ac:dyDescent="0.3">
      <c r="A209" s="69"/>
      <c r="B209" s="68" t="s">
        <v>515</v>
      </c>
      <c r="C209" s="73"/>
      <c r="D209" s="73">
        <v>5568</v>
      </c>
      <c r="E209" s="95"/>
      <c r="F209" s="95"/>
      <c r="G209" s="73">
        <f t="shared" si="15"/>
        <v>5568</v>
      </c>
    </row>
    <row r="210" spans="1:7" ht="15" customHeight="1" x14ac:dyDescent="0.3">
      <c r="A210" s="70" t="s">
        <v>370</v>
      </c>
      <c r="B210" s="70" t="s">
        <v>371</v>
      </c>
      <c r="C210" s="72"/>
      <c r="D210" s="72">
        <f>SUM(D211:D214)</f>
        <v>5169</v>
      </c>
      <c r="E210" s="94"/>
      <c r="F210" s="94"/>
      <c r="G210" s="72">
        <f t="shared" si="15"/>
        <v>5169</v>
      </c>
    </row>
    <row r="211" spans="1:7" s="65" customFormat="1" ht="15" customHeight="1" x14ac:dyDescent="0.3">
      <c r="A211" s="69"/>
      <c r="B211" s="69" t="s">
        <v>355</v>
      </c>
      <c r="C211" s="73"/>
      <c r="D211" s="73">
        <v>804</v>
      </c>
      <c r="E211" s="95"/>
      <c r="F211" s="95"/>
      <c r="G211" s="73">
        <f t="shared" si="15"/>
        <v>804</v>
      </c>
    </row>
    <row r="212" spans="1:7" s="65" customFormat="1" ht="15" customHeight="1" x14ac:dyDescent="0.3">
      <c r="A212" s="69"/>
      <c r="B212" s="69" t="s">
        <v>571</v>
      </c>
      <c r="C212" s="73"/>
      <c r="D212" s="73">
        <v>2700</v>
      </c>
      <c r="E212" s="95"/>
      <c r="F212" s="95"/>
      <c r="G212" s="73">
        <f t="shared" si="15"/>
        <v>2700</v>
      </c>
    </row>
    <row r="213" spans="1:7" s="66" customFormat="1" ht="21" customHeight="1" x14ac:dyDescent="0.3">
      <c r="A213" s="69"/>
      <c r="B213" s="68" t="s">
        <v>545</v>
      </c>
      <c r="C213" s="73"/>
      <c r="D213" s="73">
        <v>1400</v>
      </c>
      <c r="E213" s="95"/>
      <c r="F213" s="95"/>
      <c r="G213" s="73">
        <f t="shared" si="15"/>
        <v>1400</v>
      </c>
    </row>
    <row r="214" spans="1:7" ht="20.25" customHeight="1" x14ac:dyDescent="0.3">
      <c r="A214" s="69"/>
      <c r="B214" s="68" t="s">
        <v>67</v>
      </c>
      <c r="C214" s="73"/>
      <c r="D214" s="73">
        <v>265</v>
      </c>
      <c r="E214" s="95"/>
      <c r="F214" s="95"/>
      <c r="G214" s="73">
        <f t="shared" si="15"/>
        <v>265</v>
      </c>
    </row>
    <row r="215" spans="1:7" ht="20.25" customHeight="1" x14ac:dyDescent="0.3">
      <c r="A215" s="70" t="s">
        <v>372</v>
      </c>
      <c r="B215" s="70" t="s">
        <v>373</v>
      </c>
      <c r="C215" s="72"/>
      <c r="D215" s="72">
        <v>450801</v>
      </c>
      <c r="E215" s="94"/>
      <c r="F215" s="94"/>
      <c r="G215" s="72">
        <f>D215</f>
        <v>450801</v>
      </c>
    </row>
    <row r="216" spans="1:7" ht="19.5" customHeight="1" x14ac:dyDescent="0.3">
      <c r="A216" s="70" t="s">
        <v>374</v>
      </c>
      <c r="B216" s="70" t="s">
        <v>375</v>
      </c>
      <c r="C216" s="72"/>
      <c r="D216" s="72">
        <f>SUM(D217:D238)</f>
        <v>137176</v>
      </c>
      <c r="E216" s="94"/>
      <c r="F216" s="94"/>
      <c r="G216" s="72">
        <f t="shared" si="15"/>
        <v>137176</v>
      </c>
    </row>
    <row r="217" spans="1:7" ht="20.25" customHeight="1" x14ac:dyDescent="0.3">
      <c r="A217" s="69"/>
      <c r="B217" s="69" t="s">
        <v>515</v>
      </c>
      <c r="C217" s="73"/>
      <c r="D217" s="73">
        <v>11780</v>
      </c>
      <c r="E217" s="95"/>
      <c r="F217" s="95"/>
      <c r="G217" s="73">
        <f t="shared" si="15"/>
        <v>11780</v>
      </c>
    </row>
    <row r="218" spans="1:7" ht="17.25" customHeight="1" x14ac:dyDescent="0.3">
      <c r="A218" s="69"/>
      <c r="B218" s="69" t="s">
        <v>660</v>
      </c>
      <c r="C218" s="73"/>
      <c r="D218" s="73">
        <v>2576</v>
      </c>
      <c r="E218" s="95"/>
      <c r="F218" s="95"/>
      <c r="G218" s="73">
        <f t="shared" si="15"/>
        <v>2576</v>
      </c>
    </row>
    <row r="219" spans="1:7" ht="15" customHeight="1" x14ac:dyDescent="0.3">
      <c r="A219" s="69"/>
      <c r="B219" s="69" t="s">
        <v>323</v>
      </c>
      <c r="C219" s="73"/>
      <c r="D219" s="73">
        <v>5534</v>
      </c>
      <c r="E219" s="95"/>
      <c r="F219" s="95"/>
      <c r="G219" s="73">
        <f t="shared" si="15"/>
        <v>5534</v>
      </c>
    </row>
    <row r="220" spans="1:7" ht="15" customHeight="1" x14ac:dyDescent="0.3">
      <c r="A220" s="69"/>
      <c r="B220" s="69" t="s">
        <v>524</v>
      </c>
      <c r="C220" s="73"/>
      <c r="D220" s="73">
        <v>460</v>
      </c>
      <c r="E220" s="95"/>
      <c r="F220" s="95"/>
      <c r="G220" s="73">
        <f t="shared" si="15"/>
        <v>460</v>
      </c>
    </row>
    <row r="221" spans="1:7" ht="32.25" customHeight="1" x14ac:dyDescent="0.3">
      <c r="A221" s="69"/>
      <c r="B221" s="68" t="s">
        <v>398</v>
      </c>
      <c r="C221" s="73"/>
      <c r="D221" s="73">
        <v>283</v>
      </c>
      <c r="E221" s="95"/>
      <c r="F221" s="95"/>
      <c r="G221" s="73">
        <f t="shared" si="15"/>
        <v>283</v>
      </c>
    </row>
    <row r="222" spans="1:7" ht="24" customHeight="1" x14ac:dyDescent="0.3">
      <c r="A222" s="69"/>
      <c r="B222" s="68" t="s">
        <v>664</v>
      </c>
      <c r="C222" s="73"/>
      <c r="D222" s="73">
        <v>79658</v>
      </c>
      <c r="E222" s="95"/>
      <c r="F222" s="95"/>
      <c r="G222" s="73">
        <f t="shared" si="15"/>
        <v>79658</v>
      </c>
    </row>
    <row r="223" spans="1:7" ht="24" customHeight="1" x14ac:dyDescent="0.3">
      <c r="A223" s="69"/>
      <c r="B223" s="68" t="s">
        <v>672</v>
      </c>
      <c r="C223" s="73"/>
      <c r="D223" s="73">
        <v>200</v>
      </c>
      <c r="E223" s="95"/>
      <c r="F223" s="95"/>
      <c r="G223" s="73">
        <f t="shared" si="15"/>
        <v>200</v>
      </c>
    </row>
    <row r="224" spans="1:7" ht="24" customHeight="1" x14ac:dyDescent="0.3">
      <c r="A224" s="69"/>
      <c r="B224" s="68" t="s">
        <v>665</v>
      </c>
      <c r="C224" s="73"/>
      <c r="D224" s="73">
        <v>340</v>
      </c>
      <c r="E224" s="95"/>
      <c r="F224" s="95"/>
      <c r="G224" s="73">
        <f t="shared" si="15"/>
        <v>340</v>
      </c>
    </row>
    <row r="225" spans="1:7" ht="31.5" customHeight="1" x14ac:dyDescent="0.3">
      <c r="A225" s="69"/>
      <c r="B225" s="68" t="s">
        <v>666</v>
      </c>
      <c r="C225" s="73"/>
      <c r="D225" s="73">
        <v>1810</v>
      </c>
      <c r="E225" s="95"/>
      <c r="F225" s="95"/>
      <c r="G225" s="73">
        <f t="shared" si="15"/>
        <v>1810</v>
      </c>
    </row>
    <row r="226" spans="1:7" ht="34.5" customHeight="1" x14ac:dyDescent="0.3">
      <c r="A226" s="69"/>
      <c r="B226" s="68" t="s">
        <v>667</v>
      </c>
      <c r="C226" s="73"/>
      <c r="D226" s="73">
        <v>3043</v>
      </c>
      <c r="E226" s="95"/>
      <c r="F226" s="95"/>
      <c r="G226" s="73">
        <f t="shared" si="15"/>
        <v>3043</v>
      </c>
    </row>
    <row r="227" spans="1:7" ht="34.5" customHeight="1" x14ac:dyDescent="0.3">
      <c r="A227" s="69"/>
      <c r="B227" s="68" t="s">
        <v>668</v>
      </c>
      <c r="C227" s="73"/>
      <c r="D227" s="73">
        <v>3750</v>
      </c>
      <c r="E227" s="95"/>
      <c r="F227" s="95"/>
      <c r="G227" s="73">
        <f t="shared" si="15"/>
        <v>3750</v>
      </c>
    </row>
    <row r="228" spans="1:7" ht="34.5" customHeight="1" x14ac:dyDescent="0.3">
      <c r="A228" s="69"/>
      <c r="B228" s="68" t="s">
        <v>679</v>
      </c>
      <c r="C228" s="73"/>
      <c r="D228" s="73">
        <v>9400</v>
      </c>
      <c r="E228" s="95"/>
      <c r="F228" s="95"/>
      <c r="G228" s="73">
        <f t="shared" si="15"/>
        <v>9400</v>
      </c>
    </row>
    <row r="229" spans="1:7" ht="34.5" customHeight="1" x14ac:dyDescent="0.3">
      <c r="A229" s="69"/>
      <c r="B229" s="68" t="s">
        <v>674</v>
      </c>
      <c r="C229" s="73"/>
      <c r="D229" s="73">
        <v>2415</v>
      </c>
      <c r="E229" s="95"/>
      <c r="F229" s="95"/>
      <c r="G229" s="73">
        <f t="shared" si="15"/>
        <v>2415</v>
      </c>
    </row>
    <row r="230" spans="1:7" ht="34.5" customHeight="1" x14ac:dyDescent="0.3">
      <c r="A230" s="69"/>
      <c r="B230" s="68" t="s">
        <v>669</v>
      </c>
      <c r="C230" s="73"/>
      <c r="D230" s="73">
        <v>60</v>
      </c>
      <c r="E230" s="95"/>
      <c r="F230" s="95"/>
      <c r="G230" s="73">
        <f t="shared" si="15"/>
        <v>60</v>
      </c>
    </row>
    <row r="231" spans="1:7" ht="34.5" customHeight="1" x14ac:dyDescent="0.3">
      <c r="A231" s="69"/>
      <c r="B231" s="68" t="s">
        <v>678</v>
      </c>
      <c r="C231" s="73"/>
      <c r="D231" s="73">
        <v>191</v>
      </c>
      <c r="E231" s="95"/>
      <c r="F231" s="95"/>
      <c r="G231" s="73">
        <f t="shared" si="15"/>
        <v>191</v>
      </c>
    </row>
    <row r="232" spans="1:7" ht="34.5" customHeight="1" x14ac:dyDescent="0.3">
      <c r="A232" s="69"/>
      <c r="B232" s="68" t="s">
        <v>673</v>
      </c>
      <c r="C232" s="73"/>
      <c r="D232" s="73">
        <v>1775</v>
      </c>
      <c r="E232" s="95"/>
      <c r="F232" s="95"/>
      <c r="G232" s="73">
        <f t="shared" si="15"/>
        <v>1775</v>
      </c>
    </row>
    <row r="233" spans="1:7" ht="34.5" customHeight="1" x14ac:dyDescent="0.3">
      <c r="A233" s="69"/>
      <c r="B233" s="68" t="s">
        <v>677</v>
      </c>
      <c r="C233" s="73"/>
      <c r="D233" s="73">
        <v>450</v>
      </c>
      <c r="E233" s="95"/>
      <c r="F233" s="95"/>
      <c r="G233" s="73">
        <f t="shared" si="15"/>
        <v>450</v>
      </c>
    </row>
    <row r="234" spans="1:7" ht="34.5" customHeight="1" x14ac:dyDescent="0.3">
      <c r="A234" s="69"/>
      <c r="B234" s="68" t="s">
        <v>670</v>
      </c>
      <c r="C234" s="73"/>
      <c r="D234" s="73">
        <v>800</v>
      </c>
      <c r="E234" s="95"/>
      <c r="F234" s="95"/>
      <c r="G234" s="73">
        <f t="shared" si="15"/>
        <v>800</v>
      </c>
    </row>
    <row r="235" spans="1:7" ht="34.5" customHeight="1" x14ac:dyDescent="0.3">
      <c r="A235" s="69"/>
      <c r="B235" s="68" t="s">
        <v>675</v>
      </c>
      <c r="C235" s="73"/>
      <c r="D235" s="73">
        <v>1895</v>
      </c>
      <c r="E235" s="95"/>
      <c r="F235" s="95"/>
      <c r="G235" s="73">
        <f t="shared" si="15"/>
        <v>1895</v>
      </c>
    </row>
    <row r="236" spans="1:7" ht="34.5" customHeight="1" x14ac:dyDescent="0.3">
      <c r="A236" s="69"/>
      <c r="B236" s="68" t="s">
        <v>671</v>
      </c>
      <c r="C236" s="73"/>
      <c r="D236" s="73">
        <v>446</v>
      </c>
      <c r="E236" s="95"/>
      <c r="F236" s="95"/>
      <c r="G236" s="73">
        <f t="shared" si="15"/>
        <v>446</v>
      </c>
    </row>
    <row r="237" spans="1:7" ht="34.5" customHeight="1" x14ac:dyDescent="0.3">
      <c r="A237" s="69"/>
      <c r="B237" s="68" t="s">
        <v>652</v>
      </c>
      <c r="C237" s="73"/>
      <c r="D237" s="73">
        <v>5000</v>
      </c>
      <c r="E237" s="95"/>
      <c r="F237" s="95"/>
      <c r="G237" s="73">
        <f t="shared" si="15"/>
        <v>5000</v>
      </c>
    </row>
    <row r="238" spans="1:7" ht="34.5" customHeight="1" x14ac:dyDescent="0.3">
      <c r="A238" s="69"/>
      <c r="B238" s="68" t="s">
        <v>676</v>
      </c>
      <c r="C238" s="73"/>
      <c r="D238" s="73">
        <v>5310</v>
      </c>
      <c r="E238" s="95"/>
      <c r="F238" s="95"/>
      <c r="G238" s="73">
        <f t="shared" si="15"/>
        <v>5310</v>
      </c>
    </row>
    <row r="239" spans="1:7" s="65" customFormat="1" ht="32.25" customHeight="1" x14ac:dyDescent="0.3">
      <c r="A239" s="70" t="s">
        <v>376</v>
      </c>
      <c r="B239" s="71" t="s">
        <v>377</v>
      </c>
      <c r="C239" s="72"/>
      <c r="D239" s="72">
        <f>D240+D247+D256+D278+D362</f>
        <v>3394634</v>
      </c>
      <c r="E239" s="72">
        <f t="shared" ref="E239" si="16">E240+E247+E256+E278+E362</f>
        <v>0</v>
      </c>
      <c r="F239" s="72">
        <f>F240+F247+F256+F278+F362+F359</f>
        <v>2004</v>
      </c>
      <c r="G239" s="72">
        <f>D239+F239</f>
        <v>3396638</v>
      </c>
    </row>
    <row r="240" spans="1:7" ht="32.25" customHeight="1" x14ac:dyDescent="0.3">
      <c r="A240" s="70" t="s">
        <v>378</v>
      </c>
      <c r="B240" s="71" t="s">
        <v>379</v>
      </c>
      <c r="C240" s="72"/>
      <c r="D240" s="72">
        <f>SUM(D241:D246)</f>
        <v>2091582</v>
      </c>
      <c r="E240" s="94"/>
      <c r="F240" s="94"/>
      <c r="G240" s="72">
        <f t="shared" si="15"/>
        <v>2091582</v>
      </c>
    </row>
    <row r="241" spans="1:7" ht="20.25" customHeight="1" x14ac:dyDescent="0.3">
      <c r="A241" s="69"/>
      <c r="B241" s="68" t="s">
        <v>35</v>
      </c>
      <c r="C241" s="73"/>
      <c r="D241" s="73">
        <v>1431468</v>
      </c>
      <c r="E241" s="95"/>
      <c r="F241" s="95"/>
      <c r="G241" s="73">
        <f t="shared" si="15"/>
        <v>1431468</v>
      </c>
    </row>
    <row r="242" spans="1:7" ht="21.75" customHeight="1" x14ac:dyDescent="0.3">
      <c r="A242" s="69"/>
      <c r="B242" s="68" t="s">
        <v>61</v>
      </c>
      <c r="C242" s="73"/>
      <c r="D242" s="73">
        <v>10796</v>
      </c>
      <c r="E242" s="95"/>
      <c r="F242" s="95"/>
      <c r="G242" s="73">
        <f t="shared" si="15"/>
        <v>10796</v>
      </c>
    </row>
    <row r="243" spans="1:7" ht="20.25" customHeight="1" x14ac:dyDescent="0.3">
      <c r="A243" s="69"/>
      <c r="B243" s="68" t="s">
        <v>346</v>
      </c>
      <c r="C243" s="73"/>
      <c r="D243" s="73">
        <v>247968</v>
      </c>
      <c r="E243" s="95"/>
      <c r="F243" s="95"/>
      <c r="G243" s="73">
        <f t="shared" si="15"/>
        <v>247968</v>
      </c>
    </row>
    <row r="244" spans="1:7" ht="20.25" customHeight="1" x14ac:dyDescent="0.3">
      <c r="A244" s="69"/>
      <c r="B244" s="68" t="s">
        <v>70</v>
      </c>
      <c r="C244" s="73"/>
      <c r="D244" s="73">
        <v>211556</v>
      </c>
      <c r="E244" s="95"/>
      <c r="F244" s="95"/>
      <c r="G244" s="73">
        <f t="shared" si="15"/>
        <v>211556</v>
      </c>
    </row>
    <row r="245" spans="1:7" ht="18.75" customHeight="1" x14ac:dyDescent="0.3">
      <c r="A245" s="69"/>
      <c r="B245" s="68" t="s">
        <v>71</v>
      </c>
      <c r="C245" s="73"/>
      <c r="D245" s="73">
        <v>181584</v>
      </c>
      <c r="E245" s="95"/>
      <c r="F245" s="95"/>
      <c r="G245" s="73">
        <f t="shared" si="15"/>
        <v>181584</v>
      </c>
    </row>
    <row r="246" spans="1:7" ht="21" customHeight="1" x14ac:dyDescent="0.3">
      <c r="A246" s="69"/>
      <c r="B246" s="68" t="s">
        <v>323</v>
      </c>
      <c r="C246" s="73"/>
      <c r="D246" s="73">
        <v>8210</v>
      </c>
      <c r="E246" s="95"/>
      <c r="F246" s="95"/>
      <c r="G246" s="73">
        <f t="shared" si="15"/>
        <v>8210</v>
      </c>
    </row>
    <row r="247" spans="1:7" s="65" customFormat="1" ht="29.25" customHeight="1" x14ac:dyDescent="0.3">
      <c r="A247" s="70" t="s">
        <v>380</v>
      </c>
      <c r="B247" s="71" t="s">
        <v>381</v>
      </c>
      <c r="C247" s="72"/>
      <c r="D247" s="72">
        <f>SUM(D248:D255)</f>
        <v>290</v>
      </c>
      <c r="E247" s="94"/>
      <c r="F247" s="94"/>
      <c r="G247" s="72">
        <f t="shared" si="15"/>
        <v>290</v>
      </c>
    </row>
    <row r="248" spans="1:7" ht="15" customHeight="1" x14ac:dyDescent="0.3">
      <c r="A248" s="69"/>
      <c r="B248" s="68" t="s">
        <v>18</v>
      </c>
      <c r="C248" s="73"/>
      <c r="D248" s="73">
        <v>80</v>
      </c>
      <c r="E248" s="95"/>
      <c r="F248" s="95"/>
      <c r="G248" s="73">
        <f t="shared" si="15"/>
        <v>80</v>
      </c>
    </row>
    <row r="249" spans="1:7" ht="15" customHeight="1" x14ac:dyDescent="0.3">
      <c r="A249" s="69"/>
      <c r="B249" s="68" t="s">
        <v>382</v>
      </c>
      <c r="C249" s="73"/>
      <c r="D249" s="73">
        <v>30</v>
      </c>
      <c r="E249" s="95"/>
      <c r="F249" s="95"/>
      <c r="G249" s="73">
        <f t="shared" si="15"/>
        <v>30</v>
      </c>
    </row>
    <row r="250" spans="1:7" ht="15" customHeight="1" x14ac:dyDescent="0.3">
      <c r="A250" s="69"/>
      <c r="B250" s="68" t="s">
        <v>86</v>
      </c>
      <c r="C250" s="73"/>
      <c r="D250" s="73">
        <v>30</v>
      </c>
      <c r="E250" s="95"/>
      <c r="F250" s="95"/>
      <c r="G250" s="73">
        <f t="shared" si="15"/>
        <v>30</v>
      </c>
    </row>
    <row r="251" spans="1:7" ht="15" customHeight="1" x14ac:dyDescent="0.3">
      <c r="A251" s="69"/>
      <c r="B251" s="68" t="s">
        <v>383</v>
      </c>
      <c r="C251" s="73"/>
      <c r="D251" s="73">
        <v>30</v>
      </c>
      <c r="E251" s="95"/>
      <c r="F251" s="95"/>
      <c r="G251" s="73">
        <f t="shared" si="15"/>
        <v>30</v>
      </c>
    </row>
    <row r="252" spans="1:7" ht="15" customHeight="1" x14ac:dyDescent="0.3">
      <c r="A252" s="69"/>
      <c r="B252" s="68" t="s">
        <v>663</v>
      </c>
      <c r="C252" s="73"/>
      <c r="D252" s="73">
        <v>30</v>
      </c>
      <c r="E252" s="95"/>
      <c r="F252" s="95"/>
      <c r="G252" s="73">
        <f t="shared" si="15"/>
        <v>30</v>
      </c>
    </row>
    <row r="253" spans="1:7" ht="15" customHeight="1" x14ac:dyDescent="0.3">
      <c r="A253" s="69"/>
      <c r="B253" s="68" t="s">
        <v>68</v>
      </c>
      <c r="C253" s="73"/>
      <c r="D253" s="73">
        <v>30</v>
      </c>
      <c r="E253" s="95"/>
      <c r="F253" s="95"/>
      <c r="G253" s="73">
        <f t="shared" si="15"/>
        <v>30</v>
      </c>
    </row>
    <row r="254" spans="1:7" ht="15" customHeight="1" x14ac:dyDescent="0.3">
      <c r="A254" s="69"/>
      <c r="B254" s="68" t="s">
        <v>384</v>
      </c>
      <c r="C254" s="73"/>
      <c r="D254" s="73">
        <v>30</v>
      </c>
      <c r="E254" s="95"/>
      <c r="F254" s="95"/>
      <c r="G254" s="73">
        <f t="shared" si="15"/>
        <v>30</v>
      </c>
    </row>
    <row r="255" spans="1:7" ht="15" customHeight="1" x14ac:dyDescent="0.3">
      <c r="A255" s="69"/>
      <c r="B255" s="68" t="s">
        <v>385</v>
      </c>
      <c r="C255" s="73"/>
      <c r="D255" s="73">
        <v>30</v>
      </c>
      <c r="E255" s="95"/>
      <c r="F255" s="95"/>
      <c r="G255" s="73">
        <f t="shared" si="15"/>
        <v>30</v>
      </c>
    </row>
    <row r="256" spans="1:7" ht="15" customHeight="1" x14ac:dyDescent="0.3">
      <c r="A256" s="70" t="s">
        <v>386</v>
      </c>
      <c r="B256" s="70" t="s">
        <v>387</v>
      </c>
      <c r="C256" s="72"/>
      <c r="D256" s="72">
        <f>SUM(D257:D277)</f>
        <v>85660</v>
      </c>
      <c r="E256" s="94"/>
      <c r="F256" s="94"/>
      <c r="G256" s="72">
        <f t="shared" si="15"/>
        <v>85660</v>
      </c>
    </row>
    <row r="257" spans="1:7" ht="15" customHeight="1" x14ac:dyDescent="0.3">
      <c r="A257" s="69"/>
      <c r="B257" s="69" t="s">
        <v>521</v>
      </c>
      <c r="C257" s="73"/>
      <c r="D257" s="73">
        <v>26390</v>
      </c>
      <c r="E257" s="95"/>
      <c r="F257" s="95"/>
      <c r="G257" s="73">
        <f t="shared" si="15"/>
        <v>26390</v>
      </c>
    </row>
    <row r="258" spans="1:7" ht="15" customHeight="1" x14ac:dyDescent="0.3">
      <c r="A258" s="69"/>
      <c r="B258" s="69" t="s">
        <v>522</v>
      </c>
      <c r="C258" s="73"/>
      <c r="D258" s="73">
        <v>2680</v>
      </c>
      <c r="E258" s="95"/>
      <c r="F258" s="95"/>
      <c r="G258" s="73">
        <f t="shared" si="15"/>
        <v>2680</v>
      </c>
    </row>
    <row r="259" spans="1:7" ht="15" customHeight="1" x14ac:dyDescent="0.3">
      <c r="A259" s="69"/>
      <c r="B259" s="69" t="s">
        <v>388</v>
      </c>
      <c r="C259" s="73"/>
      <c r="D259" s="73">
        <v>5500</v>
      </c>
      <c r="E259" s="95"/>
      <c r="F259" s="95"/>
      <c r="G259" s="73">
        <f t="shared" si="15"/>
        <v>5500</v>
      </c>
    </row>
    <row r="260" spans="1:7" ht="15" customHeight="1" x14ac:dyDescent="0.3">
      <c r="A260" s="69"/>
      <c r="B260" s="69" t="s">
        <v>200</v>
      </c>
      <c r="C260" s="73"/>
      <c r="D260" s="73">
        <v>800</v>
      </c>
      <c r="E260" s="95"/>
      <c r="F260" s="95"/>
      <c r="G260" s="73">
        <f t="shared" si="15"/>
        <v>800</v>
      </c>
    </row>
    <row r="261" spans="1:7" ht="15" customHeight="1" x14ac:dyDescent="0.3">
      <c r="A261" s="69"/>
      <c r="B261" s="69" t="s">
        <v>22</v>
      </c>
      <c r="C261" s="73"/>
      <c r="D261" s="73">
        <v>680</v>
      </c>
      <c r="E261" s="95"/>
      <c r="F261" s="95"/>
      <c r="G261" s="73">
        <f t="shared" si="15"/>
        <v>680</v>
      </c>
    </row>
    <row r="262" spans="1:7" ht="15" customHeight="1" x14ac:dyDescent="0.3">
      <c r="A262" s="69"/>
      <c r="B262" s="69" t="s">
        <v>389</v>
      </c>
      <c r="C262" s="73"/>
      <c r="D262" s="73">
        <v>5050</v>
      </c>
      <c r="E262" s="95"/>
      <c r="F262" s="95"/>
      <c r="G262" s="73">
        <f t="shared" si="15"/>
        <v>5050</v>
      </c>
    </row>
    <row r="263" spans="1:7" ht="15" customHeight="1" x14ac:dyDescent="0.3">
      <c r="A263" s="69"/>
      <c r="B263" s="69" t="s">
        <v>337</v>
      </c>
      <c r="C263" s="73"/>
      <c r="D263" s="73">
        <v>6210</v>
      </c>
      <c r="E263" s="95"/>
      <c r="F263" s="95"/>
      <c r="G263" s="73">
        <f t="shared" si="15"/>
        <v>6210</v>
      </c>
    </row>
    <row r="264" spans="1:7" ht="15" customHeight="1" x14ac:dyDescent="0.3">
      <c r="A264" s="69"/>
      <c r="B264" s="69" t="s">
        <v>91</v>
      </c>
      <c r="C264" s="73"/>
      <c r="D264" s="73">
        <v>2990</v>
      </c>
      <c r="E264" s="95"/>
      <c r="F264" s="95"/>
      <c r="G264" s="73">
        <f t="shared" si="15"/>
        <v>2990</v>
      </c>
    </row>
    <row r="265" spans="1:7" ht="15" customHeight="1" x14ac:dyDescent="0.3">
      <c r="A265" s="69"/>
      <c r="B265" s="69" t="s">
        <v>129</v>
      </c>
      <c r="C265" s="73"/>
      <c r="D265" s="73">
        <v>540</v>
      </c>
      <c r="E265" s="95"/>
      <c r="F265" s="95"/>
      <c r="G265" s="73">
        <f t="shared" si="15"/>
        <v>540</v>
      </c>
    </row>
    <row r="266" spans="1:7" ht="15" customHeight="1" x14ac:dyDescent="0.3">
      <c r="A266" s="69"/>
      <c r="B266" s="69" t="s">
        <v>514</v>
      </c>
      <c r="C266" s="73"/>
      <c r="D266" s="73">
        <v>100</v>
      </c>
      <c r="E266" s="95"/>
      <c r="F266" s="95"/>
      <c r="G266" s="73">
        <f t="shared" si="15"/>
        <v>100</v>
      </c>
    </row>
    <row r="267" spans="1:7" ht="15" customHeight="1" x14ac:dyDescent="0.3">
      <c r="A267" s="69"/>
      <c r="B267" s="69" t="s">
        <v>390</v>
      </c>
      <c r="C267" s="73"/>
      <c r="D267" s="73">
        <v>4050</v>
      </c>
      <c r="E267" s="95"/>
      <c r="F267" s="95"/>
      <c r="G267" s="73">
        <f t="shared" si="15"/>
        <v>4050</v>
      </c>
    </row>
    <row r="268" spans="1:7" s="65" customFormat="1" ht="24" customHeight="1" x14ac:dyDescent="0.3">
      <c r="A268" s="69"/>
      <c r="B268" s="69" t="s">
        <v>139</v>
      </c>
      <c r="C268" s="73"/>
      <c r="D268" s="73">
        <v>1980</v>
      </c>
      <c r="E268" s="95"/>
      <c r="F268" s="95"/>
      <c r="G268" s="73">
        <f t="shared" si="15"/>
        <v>1980</v>
      </c>
    </row>
    <row r="269" spans="1:7" s="65" customFormat="1" ht="15" customHeight="1" x14ac:dyDescent="0.3">
      <c r="A269" s="69"/>
      <c r="B269" s="69" t="s">
        <v>338</v>
      </c>
      <c r="C269" s="73"/>
      <c r="D269" s="73">
        <v>420</v>
      </c>
      <c r="E269" s="95"/>
      <c r="F269" s="95"/>
      <c r="G269" s="73">
        <f t="shared" si="15"/>
        <v>420</v>
      </c>
    </row>
    <row r="270" spans="1:7" s="66" customFormat="1" ht="15" customHeight="1" x14ac:dyDescent="0.3">
      <c r="A270" s="69"/>
      <c r="B270" s="69" t="s">
        <v>24</v>
      </c>
      <c r="C270" s="73"/>
      <c r="D270" s="73">
        <v>2730</v>
      </c>
      <c r="E270" s="95"/>
      <c r="F270" s="95"/>
      <c r="G270" s="73">
        <f t="shared" ref="G270:G332" si="17">D270</f>
        <v>2730</v>
      </c>
    </row>
    <row r="271" spans="1:7" ht="24.75" customHeight="1" x14ac:dyDescent="0.3">
      <c r="A271" s="69"/>
      <c r="B271" s="69" t="s">
        <v>90</v>
      </c>
      <c r="C271" s="73"/>
      <c r="D271" s="73">
        <v>14450</v>
      </c>
      <c r="E271" s="95"/>
      <c r="F271" s="95"/>
      <c r="G271" s="73">
        <f t="shared" si="17"/>
        <v>14450</v>
      </c>
    </row>
    <row r="272" spans="1:7" ht="15" customHeight="1" x14ac:dyDescent="0.3">
      <c r="A272" s="69"/>
      <c r="B272" s="69" t="s">
        <v>89</v>
      </c>
      <c r="C272" s="73"/>
      <c r="D272" s="73">
        <v>2390</v>
      </c>
      <c r="E272" s="95"/>
      <c r="F272" s="95"/>
      <c r="G272" s="73">
        <f t="shared" si="17"/>
        <v>2390</v>
      </c>
    </row>
    <row r="273" spans="1:7" ht="15" customHeight="1" x14ac:dyDescent="0.3">
      <c r="A273" s="69"/>
      <c r="B273" s="69" t="s">
        <v>59</v>
      </c>
      <c r="C273" s="73"/>
      <c r="D273" s="73">
        <v>2200</v>
      </c>
      <c r="E273" s="95"/>
      <c r="F273" s="95"/>
      <c r="G273" s="73">
        <f t="shared" si="17"/>
        <v>2200</v>
      </c>
    </row>
    <row r="274" spans="1:7" ht="15" customHeight="1" x14ac:dyDescent="0.3">
      <c r="A274" s="69"/>
      <c r="B274" s="69" t="s">
        <v>87</v>
      </c>
      <c r="C274" s="73"/>
      <c r="D274" s="73">
        <v>360</v>
      </c>
      <c r="E274" s="95"/>
      <c r="F274" s="95"/>
      <c r="G274" s="73">
        <f t="shared" si="17"/>
        <v>360</v>
      </c>
    </row>
    <row r="275" spans="1:7" ht="15" customHeight="1" x14ac:dyDescent="0.3">
      <c r="A275" s="69"/>
      <c r="B275" s="69" t="s">
        <v>73</v>
      </c>
      <c r="C275" s="73"/>
      <c r="D275" s="73">
        <v>900</v>
      </c>
      <c r="E275" s="95"/>
      <c r="F275" s="95"/>
      <c r="G275" s="73">
        <f t="shared" si="17"/>
        <v>900</v>
      </c>
    </row>
    <row r="276" spans="1:7" ht="19.5" customHeight="1" x14ac:dyDescent="0.3">
      <c r="A276" s="69"/>
      <c r="B276" s="69" t="s">
        <v>92</v>
      </c>
      <c r="C276" s="73"/>
      <c r="D276" s="73">
        <v>1800</v>
      </c>
      <c r="E276" s="95"/>
      <c r="F276" s="95"/>
      <c r="G276" s="73">
        <f t="shared" si="17"/>
        <v>1800</v>
      </c>
    </row>
    <row r="277" spans="1:7" ht="15" customHeight="1" x14ac:dyDescent="0.3">
      <c r="A277" s="69"/>
      <c r="B277" s="69" t="s">
        <v>391</v>
      </c>
      <c r="C277" s="73"/>
      <c r="D277" s="73">
        <v>3440</v>
      </c>
      <c r="E277" s="95"/>
      <c r="F277" s="95"/>
      <c r="G277" s="73">
        <f t="shared" si="17"/>
        <v>3440</v>
      </c>
    </row>
    <row r="278" spans="1:7" ht="33" customHeight="1" x14ac:dyDescent="0.3">
      <c r="A278" s="70" t="s">
        <v>392</v>
      </c>
      <c r="B278" s="71" t="s">
        <v>393</v>
      </c>
      <c r="C278" s="72"/>
      <c r="D278" s="72">
        <f>D279+D353</f>
        <v>763237</v>
      </c>
      <c r="E278" s="72">
        <f>E279+E353</f>
        <v>0</v>
      </c>
      <c r="F278" s="72"/>
      <c r="G278" s="72">
        <f t="shared" si="17"/>
        <v>763237</v>
      </c>
    </row>
    <row r="279" spans="1:7" ht="30" customHeight="1" x14ac:dyDescent="0.3">
      <c r="A279" s="70" t="s">
        <v>395</v>
      </c>
      <c r="B279" s="71" t="s">
        <v>396</v>
      </c>
      <c r="C279" s="72"/>
      <c r="D279" s="72">
        <f>SUM(D280:D352)</f>
        <v>758753</v>
      </c>
      <c r="E279" s="72">
        <f>SUM(E280:E352)</f>
        <v>0</v>
      </c>
      <c r="F279" s="72"/>
      <c r="G279" s="72">
        <f>D279</f>
        <v>758753</v>
      </c>
    </row>
    <row r="280" spans="1:7" ht="20.25" customHeight="1" x14ac:dyDescent="0.3">
      <c r="A280" s="69"/>
      <c r="B280" s="68" t="s">
        <v>394</v>
      </c>
      <c r="C280" s="73"/>
      <c r="D280" s="73">
        <v>7240</v>
      </c>
      <c r="E280" s="95"/>
      <c r="F280" s="95"/>
      <c r="G280" s="73">
        <f t="shared" si="17"/>
        <v>7240</v>
      </c>
    </row>
    <row r="281" spans="1:7" ht="30.75" customHeight="1" x14ac:dyDescent="0.3">
      <c r="A281" s="69"/>
      <c r="B281" s="68" t="s">
        <v>368</v>
      </c>
      <c r="C281" s="73"/>
      <c r="D281" s="73">
        <v>3200</v>
      </c>
      <c r="E281" s="95"/>
      <c r="F281" s="95"/>
      <c r="G281" s="73">
        <f t="shared" si="17"/>
        <v>3200</v>
      </c>
    </row>
    <row r="282" spans="1:7" ht="15" customHeight="1" x14ac:dyDescent="0.3">
      <c r="A282" s="69"/>
      <c r="B282" s="68" t="s">
        <v>521</v>
      </c>
      <c r="C282" s="73"/>
      <c r="D282" s="73">
        <v>500</v>
      </c>
      <c r="E282" s="95"/>
      <c r="F282" s="95"/>
      <c r="G282" s="73">
        <f t="shared" si="17"/>
        <v>500</v>
      </c>
    </row>
    <row r="283" spans="1:7" ht="15" customHeight="1" x14ac:dyDescent="0.3">
      <c r="A283" s="69"/>
      <c r="B283" s="68" t="s">
        <v>523</v>
      </c>
      <c r="C283" s="73"/>
      <c r="D283" s="73">
        <v>5000</v>
      </c>
      <c r="E283" s="95"/>
      <c r="F283" s="95"/>
      <c r="G283" s="73">
        <f t="shared" si="17"/>
        <v>5000</v>
      </c>
    </row>
    <row r="284" spans="1:7" ht="15" customHeight="1" x14ac:dyDescent="0.3">
      <c r="A284" s="69"/>
      <c r="B284" s="68" t="s">
        <v>551</v>
      </c>
      <c r="C284" s="73"/>
      <c r="D284" s="73">
        <v>13500</v>
      </c>
      <c r="E284" s="95"/>
      <c r="F284" s="95"/>
      <c r="G284" s="73">
        <f t="shared" si="17"/>
        <v>13500</v>
      </c>
    </row>
    <row r="285" spans="1:7" ht="15" customHeight="1" x14ac:dyDescent="0.3">
      <c r="A285" s="69"/>
      <c r="B285" s="68" t="s">
        <v>30</v>
      </c>
      <c r="C285" s="73"/>
      <c r="D285" s="73">
        <v>3000</v>
      </c>
      <c r="E285" s="95"/>
      <c r="F285" s="95"/>
      <c r="G285" s="73">
        <f t="shared" si="17"/>
        <v>3000</v>
      </c>
    </row>
    <row r="286" spans="1:7" ht="15" customHeight="1" x14ac:dyDescent="0.3">
      <c r="A286" s="69"/>
      <c r="B286" s="68" t="s">
        <v>508</v>
      </c>
      <c r="C286" s="73"/>
      <c r="D286" s="73">
        <v>180</v>
      </c>
      <c r="E286" s="95"/>
      <c r="F286" s="95"/>
      <c r="G286" s="73">
        <f t="shared" si="17"/>
        <v>180</v>
      </c>
    </row>
    <row r="287" spans="1:7" ht="19.5" customHeight="1" x14ac:dyDescent="0.3">
      <c r="A287" s="69"/>
      <c r="B287" s="68" t="s">
        <v>40</v>
      </c>
      <c r="C287" s="73"/>
      <c r="D287" s="73">
        <v>4000</v>
      </c>
      <c r="E287" s="95"/>
      <c r="F287" s="95"/>
      <c r="G287" s="73">
        <f t="shared" si="17"/>
        <v>4000</v>
      </c>
    </row>
    <row r="288" spans="1:7" ht="19.5" customHeight="1" x14ac:dyDescent="0.3">
      <c r="A288" s="69"/>
      <c r="B288" s="68" t="s">
        <v>525</v>
      </c>
      <c r="C288" s="73"/>
      <c r="D288" s="73">
        <v>11000</v>
      </c>
      <c r="E288" s="95"/>
      <c r="F288" s="95"/>
      <c r="G288" s="73">
        <f t="shared" si="17"/>
        <v>11000</v>
      </c>
    </row>
    <row r="289" spans="1:7" ht="15" customHeight="1" x14ac:dyDescent="0.3">
      <c r="A289" s="69"/>
      <c r="B289" s="68" t="s">
        <v>524</v>
      </c>
      <c r="C289" s="73"/>
      <c r="D289" s="73">
        <v>7677</v>
      </c>
      <c r="E289" s="95"/>
      <c r="F289" s="95"/>
      <c r="G289" s="73">
        <f t="shared" si="17"/>
        <v>7677</v>
      </c>
    </row>
    <row r="290" spans="1:7" ht="15" customHeight="1" x14ac:dyDescent="0.3">
      <c r="A290" s="69"/>
      <c r="B290" s="68" t="s">
        <v>655</v>
      </c>
      <c r="C290" s="73"/>
      <c r="D290" s="73">
        <v>9700</v>
      </c>
      <c r="E290" s="95"/>
      <c r="F290" s="95"/>
      <c r="G290" s="73">
        <f t="shared" si="17"/>
        <v>9700</v>
      </c>
    </row>
    <row r="291" spans="1:7" ht="15" customHeight="1" x14ac:dyDescent="0.3">
      <c r="A291" s="69"/>
      <c r="B291" s="68" t="s">
        <v>656</v>
      </c>
      <c r="C291" s="73"/>
      <c r="D291" s="73">
        <v>428</v>
      </c>
      <c r="E291" s="95"/>
      <c r="F291" s="95"/>
      <c r="G291" s="73">
        <f t="shared" si="17"/>
        <v>428</v>
      </c>
    </row>
    <row r="292" spans="1:7" ht="15" customHeight="1" x14ac:dyDescent="0.3">
      <c r="A292" s="69"/>
      <c r="B292" s="68" t="s">
        <v>515</v>
      </c>
      <c r="C292" s="73"/>
      <c r="D292" s="73">
        <v>10000</v>
      </c>
      <c r="E292" s="95"/>
      <c r="F292" s="95"/>
      <c r="G292" s="73">
        <f t="shared" si="17"/>
        <v>10000</v>
      </c>
    </row>
    <row r="293" spans="1:7" ht="20.25" customHeight="1" x14ac:dyDescent="0.3">
      <c r="A293" s="69"/>
      <c r="B293" s="69" t="s">
        <v>89</v>
      </c>
      <c r="C293" s="73"/>
      <c r="D293" s="73">
        <v>60</v>
      </c>
      <c r="E293" s="95"/>
      <c r="F293" s="95"/>
      <c r="G293" s="73">
        <f t="shared" si="17"/>
        <v>60</v>
      </c>
    </row>
    <row r="294" spans="1:7" ht="20.25" customHeight="1" x14ac:dyDescent="0.3">
      <c r="A294" s="69"/>
      <c r="B294" s="68" t="s">
        <v>202</v>
      </c>
      <c r="C294" s="73"/>
      <c r="D294" s="73">
        <v>160</v>
      </c>
      <c r="E294" s="95"/>
      <c r="F294" s="95"/>
      <c r="G294" s="73">
        <f t="shared" si="17"/>
        <v>160</v>
      </c>
    </row>
    <row r="295" spans="1:7" ht="19.5" customHeight="1" x14ac:dyDescent="0.3">
      <c r="A295" s="69"/>
      <c r="B295" s="68" t="s">
        <v>124</v>
      </c>
      <c r="C295" s="73"/>
      <c r="D295" s="73">
        <v>500</v>
      </c>
      <c r="E295" s="95"/>
      <c r="F295" s="95"/>
      <c r="G295" s="73">
        <f t="shared" si="17"/>
        <v>500</v>
      </c>
    </row>
    <row r="296" spans="1:7" ht="18.75" customHeight="1" x14ac:dyDescent="0.3">
      <c r="A296" s="69"/>
      <c r="B296" s="68" t="s">
        <v>526</v>
      </c>
      <c r="C296" s="73"/>
      <c r="D296" s="73">
        <v>5600</v>
      </c>
      <c r="E296" s="95"/>
      <c r="F296" s="95"/>
      <c r="G296" s="73">
        <f t="shared" si="17"/>
        <v>5600</v>
      </c>
    </row>
    <row r="297" spans="1:7" ht="21.75" customHeight="1" x14ac:dyDescent="0.3">
      <c r="A297" s="69"/>
      <c r="B297" s="68" t="s">
        <v>10</v>
      </c>
      <c r="C297" s="73"/>
      <c r="D297" s="73">
        <v>1977</v>
      </c>
      <c r="E297" s="95"/>
      <c r="F297" s="95"/>
      <c r="G297" s="73">
        <f t="shared" si="17"/>
        <v>1977</v>
      </c>
    </row>
    <row r="298" spans="1:7" ht="21.75" customHeight="1" x14ac:dyDescent="0.3">
      <c r="A298" s="69"/>
      <c r="B298" s="68" t="s">
        <v>11</v>
      </c>
      <c r="C298" s="73"/>
      <c r="D298" s="73">
        <v>2785</v>
      </c>
      <c r="E298" s="95"/>
      <c r="F298" s="95"/>
      <c r="G298" s="73">
        <f t="shared" si="17"/>
        <v>2785</v>
      </c>
    </row>
    <row r="299" spans="1:7" ht="22.5" customHeight="1" x14ac:dyDescent="0.3">
      <c r="A299" s="69"/>
      <c r="B299" s="68" t="s">
        <v>527</v>
      </c>
      <c r="C299" s="73"/>
      <c r="D299" s="73">
        <v>37000</v>
      </c>
      <c r="E299" s="95"/>
      <c r="F299" s="95"/>
      <c r="G299" s="73">
        <f t="shared" si="17"/>
        <v>37000</v>
      </c>
    </row>
    <row r="300" spans="1:7" ht="25.2" customHeight="1" x14ac:dyDescent="0.3">
      <c r="A300" s="69"/>
      <c r="B300" s="68" t="s">
        <v>512</v>
      </c>
      <c r="C300" s="73"/>
      <c r="D300" s="73">
        <v>200</v>
      </c>
      <c r="E300" s="95"/>
      <c r="F300" s="95"/>
      <c r="G300" s="73">
        <f t="shared" si="17"/>
        <v>200</v>
      </c>
    </row>
    <row r="301" spans="1:7" ht="25.2" customHeight="1" x14ac:dyDescent="0.3">
      <c r="A301" s="69"/>
      <c r="B301" s="68" t="s">
        <v>83</v>
      </c>
      <c r="C301" s="73"/>
      <c r="D301" s="73">
        <v>5500</v>
      </c>
      <c r="E301" s="95"/>
      <c r="F301" s="95"/>
      <c r="G301" s="73">
        <f t="shared" si="17"/>
        <v>5500</v>
      </c>
    </row>
    <row r="302" spans="1:7" ht="29.25" customHeight="1" x14ac:dyDescent="0.3">
      <c r="A302" s="69"/>
      <c r="B302" s="68" t="s">
        <v>528</v>
      </c>
      <c r="C302" s="73"/>
      <c r="D302" s="73">
        <v>1167</v>
      </c>
      <c r="E302" s="95"/>
      <c r="F302" s="95"/>
      <c r="G302" s="73">
        <f t="shared" si="17"/>
        <v>1167</v>
      </c>
    </row>
    <row r="303" spans="1:7" ht="15.75" customHeight="1" x14ac:dyDescent="0.3">
      <c r="A303" s="69"/>
      <c r="B303" s="68" t="s">
        <v>516</v>
      </c>
      <c r="C303" s="73"/>
      <c r="D303" s="73">
        <v>5800</v>
      </c>
      <c r="E303" s="95"/>
      <c r="F303" s="95"/>
      <c r="G303" s="73">
        <f t="shared" si="17"/>
        <v>5800</v>
      </c>
    </row>
    <row r="304" spans="1:7" ht="15" customHeight="1" x14ac:dyDescent="0.3">
      <c r="A304" s="69"/>
      <c r="B304" s="68" t="s">
        <v>529</v>
      </c>
      <c r="C304" s="73"/>
      <c r="D304" s="73">
        <v>1550</v>
      </c>
      <c r="E304" s="95"/>
      <c r="F304" s="95"/>
      <c r="G304" s="73">
        <f t="shared" si="17"/>
        <v>1550</v>
      </c>
    </row>
    <row r="305" spans="1:7" ht="15" customHeight="1" x14ac:dyDescent="0.3">
      <c r="A305" s="69"/>
      <c r="B305" s="68" t="s">
        <v>571</v>
      </c>
      <c r="C305" s="73"/>
      <c r="D305" s="73">
        <v>11420</v>
      </c>
      <c r="E305" s="95"/>
      <c r="F305" s="95"/>
      <c r="G305" s="73">
        <f t="shared" si="17"/>
        <v>11420</v>
      </c>
    </row>
    <row r="306" spans="1:7" ht="15" customHeight="1" x14ac:dyDescent="0.3">
      <c r="A306" s="69"/>
      <c r="B306" s="68" t="s">
        <v>783</v>
      </c>
      <c r="C306" s="73"/>
      <c r="D306" s="73">
        <v>65000</v>
      </c>
      <c r="E306" s="95" t="s">
        <v>397</v>
      </c>
      <c r="F306" s="95"/>
      <c r="G306" s="73">
        <f t="shared" si="17"/>
        <v>65000</v>
      </c>
    </row>
    <row r="307" spans="1:7" ht="15" customHeight="1" x14ac:dyDescent="0.3">
      <c r="A307" s="69"/>
      <c r="B307" s="68" t="s">
        <v>784</v>
      </c>
      <c r="C307" s="73"/>
      <c r="D307" s="73">
        <v>35878</v>
      </c>
      <c r="E307" s="95" t="s">
        <v>397</v>
      </c>
      <c r="F307" s="95"/>
      <c r="G307" s="73">
        <f t="shared" si="17"/>
        <v>35878</v>
      </c>
    </row>
    <row r="308" spans="1:7" ht="15" customHeight="1" x14ac:dyDescent="0.3">
      <c r="A308" s="69"/>
      <c r="B308" s="68" t="s">
        <v>785</v>
      </c>
      <c r="C308" s="73"/>
      <c r="D308" s="73">
        <v>16000</v>
      </c>
      <c r="E308" s="95"/>
      <c r="F308" s="95"/>
      <c r="G308" s="73">
        <f t="shared" si="17"/>
        <v>16000</v>
      </c>
    </row>
    <row r="309" spans="1:7" ht="15" customHeight="1" x14ac:dyDescent="0.3">
      <c r="A309" s="69"/>
      <c r="B309" s="68" t="s">
        <v>786</v>
      </c>
      <c r="C309" s="73"/>
      <c r="D309" s="73">
        <v>85000</v>
      </c>
      <c r="E309" s="95"/>
      <c r="F309" s="95"/>
      <c r="G309" s="73">
        <f t="shared" si="17"/>
        <v>85000</v>
      </c>
    </row>
    <row r="310" spans="1:7" ht="15" customHeight="1" x14ac:dyDescent="0.3">
      <c r="A310" s="69"/>
      <c r="B310" s="68" t="s">
        <v>776</v>
      </c>
      <c r="C310" s="73"/>
      <c r="D310" s="73">
        <v>17000</v>
      </c>
      <c r="E310" s="95"/>
      <c r="F310" s="95"/>
      <c r="G310" s="73">
        <f t="shared" si="17"/>
        <v>17000</v>
      </c>
    </row>
    <row r="311" spans="1:7" ht="15" customHeight="1" x14ac:dyDescent="0.3">
      <c r="A311" s="69"/>
      <c r="B311" s="68" t="s">
        <v>777</v>
      </c>
      <c r="C311" s="73"/>
      <c r="D311" s="73">
        <v>32200</v>
      </c>
      <c r="E311" s="95"/>
      <c r="F311" s="95"/>
      <c r="G311" s="73">
        <f t="shared" si="17"/>
        <v>32200</v>
      </c>
    </row>
    <row r="312" spans="1:7" ht="15" customHeight="1" x14ac:dyDescent="0.3">
      <c r="A312" s="69"/>
      <c r="B312" s="68" t="s">
        <v>787</v>
      </c>
      <c r="C312" s="73"/>
      <c r="D312" s="73">
        <v>80000</v>
      </c>
      <c r="E312" s="95"/>
      <c r="F312" s="95"/>
      <c r="G312" s="73">
        <f t="shared" si="17"/>
        <v>80000</v>
      </c>
    </row>
    <row r="313" spans="1:7" ht="15" customHeight="1" x14ac:dyDescent="0.3">
      <c r="A313" s="69"/>
      <c r="B313" s="68" t="s">
        <v>128</v>
      </c>
      <c r="C313" s="73"/>
      <c r="D313" s="73">
        <v>3635</v>
      </c>
      <c r="E313" s="95"/>
      <c r="F313" s="95"/>
      <c r="G313" s="73">
        <f t="shared" si="17"/>
        <v>3635</v>
      </c>
    </row>
    <row r="314" spans="1:7" ht="15" customHeight="1" x14ac:dyDescent="0.3">
      <c r="A314" s="69"/>
      <c r="B314" s="68" t="s">
        <v>127</v>
      </c>
      <c r="C314" s="73"/>
      <c r="D314" s="73">
        <v>10185</v>
      </c>
      <c r="E314" s="95"/>
      <c r="F314" s="95"/>
      <c r="G314" s="73">
        <f t="shared" si="17"/>
        <v>10185</v>
      </c>
    </row>
    <row r="315" spans="1:7" ht="15" customHeight="1" x14ac:dyDescent="0.3">
      <c r="A315" s="69"/>
      <c r="B315" s="68" t="s">
        <v>718</v>
      </c>
      <c r="C315" s="73"/>
      <c r="D315" s="73">
        <v>10625</v>
      </c>
      <c r="E315" s="95"/>
      <c r="F315" s="95"/>
      <c r="G315" s="73">
        <f t="shared" si="17"/>
        <v>10625</v>
      </c>
    </row>
    <row r="316" spans="1:7" ht="15" customHeight="1" x14ac:dyDescent="0.3">
      <c r="A316" s="69"/>
      <c r="B316" s="68" t="s">
        <v>717</v>
      </c>
      <c r="C316" s="73"/>
      <c r="D316" s="73">
        <v>5920</v>
      </c>
      <c r="E316" s="95"/>
      <c r="F316" s="95"/>
      <c r="G316" s="73">
        <f t="shared" si="17"/>
        <v>5920</v>
      </c>
    </row>
    <row r="317" spans="1:7" ht="15" customHeight="1" x14ac:dyDescent="0.3">
      <c r="A317" s="69"/>
      <c r="B317" s="68" t="s">
        <v>716</v>
      </c>
      <c r="C317" s="73"/>
      <c r="D317" s="73">
        <v>3215</v>
      </c>
      <c r="E317" s="95"/>
      <c r="F317" s="95"/>
      <c r="G317" s="73">
        <f t="shared" si="17"/>
        <v>3215</v>
      </c>
    </row>
    <row r="318" spans="1:7" ht="15" customHeight="1" x14ac:dyDescent="0.3">
      <c r="A318" s="69"/>
      <c r="B318" s="68" t="s">
        <v>592</v>
      </c>
      <c r="C318" s="73"/>
      <c r="D318" s="73">
        <v>5325</v>
      </c>
      <c r="E318" s="95"/>
      <c r="F318" s="95"/>
      <c r="G318" s="73">
        <f t="shared" si="17"/>
        <v>5325</v>
      </c>
    </row>
    <row r="319" spans="1:7" ht="15" customHeight="1" x14ac:dyDescent="0.3">
      <c r="A319" s="69"/>
      <c r="B319" s="68" t="s">
        <v>715</v>
      </c>
      <c r="C319" s="73"/>
      <c r="D319" s="73">
        <v>8020</v>
      </c>
      <c r="E319" s="95"/>
      <c r="F319" s="95"/>
      <c r="G319" s="73">
        <f t="shared" si="17"/>
        <v>8020</v>
      </c>
    </row>
    <row r="320" spans="1:7" ht="15" customHeight="1" x14ac:dyDescent="0.3">
      <c r="A320" s="69"/>
      <c r="B320" s="68" t="s">
        <v>714</v>
      </c>
      <c r="C320" s="73"/>
      <c r="D320" s="73">
        <v>10000</v>
      </c>
      <c r="E320" s="95"/>
      <c r="F320" s="95"/>
      <c r="G320" s="73">
        <f t="shared" si="17"/>
        <v>10000</v>
      </c>
    </row>
    <row r="321" spans="1:7" ht="15" customHeight="1" x14ac:dyDescent="0.3">
      <c r="A321" s="69"/>
      <c r="B321" s="68" t="s">
        <v>84</v>
      </c>
      <c r="C321" s="73"/>
      <c r="D321" s="73">
        <v>9069</v>
      </c>
      <c r="E321" s="95"/>
      <c r="F321" s="95"/>
      <c r="G321" s="73">
        <f t="shared" si="17"/>
        <v>9069</v>
      </c>
    </row>
    <row r="322" spans="1:7" ht="15" customHeight="1" x14ac:dyDescent="0.3">
      <c r="A322" s="69"/>
      <c r="B322" s="68" t="s">
        <v>713</v>
      </c>
      <c r="C322" s="73"/>
      <c r="D322" s="73">
        <v>3455</v>
      </c>
      <c r="E322" s="95"/>
      <c r="F322" s="95"/>
      <c r="G322" s="73">
        <f t="shared" si="17"/>
        <v>3455</v>
      </c>
    </row>
    <row r="323" spans="1:7" ht="15" customHeight="1" x14ac:dyDescent="0.3">
      <c r="A323" s="69"/>
      <c r="B323" s="68" t="s">
        <v>712</v>
      </c>
      <c r="C323" s="73"/>
      <c r="D323" s="73">
        <v>6255</v>
      </c>
      <c r="E323" s="95"/>
      <c r="F323" s="95"/>
      <c r="G323" s="73">
        <f t="shared" si="17"/>
        <v>6255</v>
      </c>
    </row>
    <row r="324" spans="1:7" ht="15.75" customHeight="1" x14ac:dyDescent="0.3">
      <c r="A324" s="69"/>
      <c r="B324" s="68" t="s">
        <v>710</v>
      </c>
      <c r="C324" s="73"/>
      <c r="D324" s="73">
        <v>4175</v>
      </c>
      <c r="E324" s="95"/>
      <c r="F324" s="95"/>
      <c r="G324" s="73">
        <f t="shared" si="17"/>
        <v>4175</v>
      </c>
    </row>
    <row r="325" spans="1:7" ht="19.5" customHeight="1" x14ac:dyDescent="0.3">
      <c r="A325" s="69"/>
      <c r="B325" s="68" t="s">
        <v>589</v>
      </c>
      <c r="C325" s="73"/>
      <c r="D325" s="73">
        <v>4300</v>
      </c>
      <c r="E325" s="95"/>
      <c r="F325" s="95"/>
      <c r="G325" s="73">
        <f t="shared" si="17"/>
        <v>4300</v>
      </c>
    </row>
    <row r="326" spans="1:7" ht="18" customHeight="1" x14ac:dyDescent="0.3">
      <c r="A326" s="69"/>
      <c r="B326" s="68" t="s">
        <v>85</v>
      </c>
      <c r="C326" s="73"/>
      <c r="D326" s="73">
        <v>12100</v>
      </c>
      <c r="E326" s="95"/>
      <c r="F326" s="95"/>
      <c r="G326" s="73">
        <f t="shared" si="17"/>
        <v>12100</v>
      </c>
    </row>
    <row r="327" spans="1:7" ht="24" customHeight="1" x14ac:dyDescent="0.3">
      <c r="A327" s="69"/>
      <c r="B327" s="68" t="s">
        <v>711</v>
      </c>
      <c r="C327" s="73"/>
      <c r="D327" s="73">
        <v>9890</v>
      </c>
      <c r="E327" s="95"/>
      <c r="F327" s="95"/>
      <c r="G327" s="73">
        <f t="shared" si="17"/>
        <v>9890</v>
      </c>
    </row>
    <row r="328" spans="1:7" ht="22.5" customHeight="1" x14ac:dyDescent="0.3">
      <c r="A328" s="69"/>
      <c r="B328" s="68" t="s">
        <v>719</v>
      </c>
      <c r="C328" s="73"/>
      <c r="D328" s="73">
        <v>4620</v>
      </c>
      <c r="E328" s="95"/>
      <c r="F328" s="95"/>
      <c r="G328" s="73">
        <f t="shared" si="17"/>
        <v>4620</v>
      </c>
    </row>
    <row r="329" spans="1:7" ht="18.75" customHeight="1" x14ac:dyDescent="0.3">
      <c r="A329" s="69"/>
      <c r="B329" s="68" t="s">
        <v>720</v>
      </c>
      <c r="C329" s="73"/>
      <c r="D329" s="73">
        <v>3785</v>
      </c>
      <c r="E329" s="95"/>
      <c r="F329" s="95"/>
      <c r="G329" s="73">
        <f t="shared" si="17"/>
        <v>3785</v>
      </c>
    </row>
    <row r="330" spans="1:7" ht="18.75" customHeight="1" x14ac:dyDescent="0.3">
      <c r="A330" s="69"/>
      <c r="B330" s="68" t="s">
        <v>585</v>
      </c>
      <c r="C330" s="73"/>
      <c r="D330" s="73">
        <v>4225</v>
      </c>
      <c r="E330" s="95"/>
      <c r="F330" s="95"/>
      <c r="G330" s="73">
        <f t="shared" si="17"/>
        <v>4225</v>
      </c>
    </row>
    <row r="331" spans="1:7" ht="20.25" customHeight="1" x14ac:dyDescent="0.3">
      <c r="A331" s="69"/>
      <c r="B331" s="68" t="s">
        <v>590</v>
      </c>
      <c r="C331" s="73"/>
      <c r="D331" s="73">
        <v>20100</v>
      </c>
      <c r="E331" s="95"/>
      <c r="F331" s="95"/>
      <c r="G331" s="73">
        <f t="shared" si="17"/>
        <v>20100</v>
      </c>
    </row>
    <row r="332" spans="1:7" ht="23.25" customHeight="1" x14ac:dyDescent="0.3">
      <c r="A332" s="69"/>
      <c r="B332" s="68" t="s">
        <v>623</v>
      </c>
      <c r="C332" s="73"/>
      <c r="D332" s="73">
        <v>3915</v>
      </c>
      <c r="E332" s="95"/>
      <c r="F332" s="95"/>
      <c r="G332" s="73">
        <f t="shared" si="17"/>
        <v>3915</v>
      </c>
    </row>
    <row r="333" spans="1:7" ht="24.75" customHeight="1" x14ac:dyDescent="0.3">
      <c r="A333" s="69"/>
      <c r="B333" s="68" t="s">
        <v>624</v>
      </c>
      <c r="C333" s="73"/>
      <c r="D333" s="73">
        <v>11455</v>
      </c>
      <c r="E333" s="95"/>
      <c r="F333" s="95"/>
      <c r="G333" s="73">
        <f t="shared" ref="G333:G358" si="18">D333</f>
        <v>11455</v>
      </c>
    </row>
    <row r="334" spans="1:7" ht="24" customHeight="1" x14ac:dyDescent="0.3">
      <c r="A334" s="69"/>
      <c r="B334" s="68" t="s">
        <v>593</v>
      </c>
      <c r="C334" s="73"/>
      <c r="D334" s="73">
        <v>7660</v>
      </c>
      <c r="E334" s="95"/>
      <c r="F334" s="95"/>
      <c r="G334" s="73">
        <f t="shared" si="18"/>
        <v>7660</v>
      </c>
    </row>
    <row r="335" spans="1:7" ht="20.25" customHeight="1" x14ac:dyDescent="0.3">
      <c r="A335" s="69"/>
      <c r="B335" s="68" t="s">
        <v>594</v>
      </c>
      <c r="C335" s="73"/>
      <c r="D335" s="73">
        <v>5595</v>
      </c>
      <c r="E335" s="95"/>
      <c r="F335" s="95"/>
      <c r="G335" s="73">
        <f t="shared" si="18"/>
        <v>5595</v>
      </c>
    </row>
    <row r="336" spans="1:7" ht="30" customHeight="1" x14ac:dyDescent="0.3">
      <c r="A336" s="69"/>
      <c r="B336" s="68" t="s">
        <v>595</v>
      </c>
      <c r="C336" s="73"/>
      <c r="D336" s="73">
        <v>6325</v>
      </c>
      <c r="E336" s="95"/>
      <c r="F336" s="95"/>
      <c r="G336" s="73">
        <f t="shared" si="18"/>
        <v>6325</v>
      </c>
    </row>
    <row r="337" spans="1:7" ht="30" customHeight="1" x14ac:dyDescent="0.3">
      <c r="A337" s="69"/>
      <c r="B337" s="68" t="s">
        <v>596</v>
      </c>
      <c r="C337" s="73"/>
      <c r="D337" s="73">
        <v>3235</v>
      </c>
      <c r="E337" s="95"/>
      <c r="F337" s="95"/>
      <c r="G337" s="73">
        <f t="shared" si="18"/>
        <v>3235</v>
      </c>
    </row>
    <row r="338" spans="1:7" ht="30" customHeight="1" x14ac:dyDescent="0.3">
      <c r="A338" s="69"/>
      <c r="B338" s="68" t="s">
        <v>597</v>
      </c>
      <c r="C338" s="73"/>
      <c r="D338" s="73">
        <v>7700</v>
      </c>
      <c r="E338" s="95"/>
      <c r="F338" s="95"/>
      <c r="G338" s="73">
        <f t="shared" si="18"/>
        <v>7700</v>
      </c>
    </row>
    <row r="339" spans="1:7" ht="30" customHeight="1" x14ac:dyDescent="0.3">
      <c r="A339" s="69"/>
      <c r="B339" s="68" t="s">
        <v>598</v>
      </c>
      <c r="C339" s="73"/>
      <c r="D339" s="73">
        <v>5700</v>
      </c>
      <c r="E339" s="95"/>
      <c r="F339" s="95"/>
      <c r="G339" s="73">
        <f t="shared" si="18"/>
        <v>5700</v>
      </c>
    </row>
    <row r="340" spans="1:7" ht="30" customHeight="1" x14ac:dyDescent="0.3">
      <c r="A340" s="69"/>
      <c r="B340" s="68" t="s">
        <v>599</v>
      </c>
      <c r="C340" s="73"/>
      <c r="D340" s="73">
        <v>3000</v>
      </c>
      <c r="E340" s="95"/>
      <c r="F340" s="95"/>
      <c r="G340" s="73">
        <f t="shared" si="18"/>
        <v>3000</v>
      </c>
    </row>
    <row r="341" spans="1:7" ht="30" customHeight="1" x14ac:dyDescent="0.3">
      <c r="A341" s="69"/>
      <c r="B341" s="68" t="s">
        <v>600</v>
      </c>
      <c r="C341" s="73"/>
      <c r="D341" s="73">
        <v>11730</v>
      </c>
      <c r="E341" s="95"/>
      <c r="F341" s="95"/>
      <c r="G341" s="73">
        <f t="shared" si="18"/>
        <v>11730</v>
      </c>
    </row>
    <row r="342" spans="1:7" ht="30" customHeight="1" x14ac:dyDescent="0.3">
      <c r="A342" s="69"/>
      <c r="B342" s="68" t="s">
        <v>601</v>
      </c>
      <c r="C342" s="73"/>
      <c r="D342" s="73">
        <v>1950</v>
      </c>
      <c r="E342" s="95"/>
      <c r="F342" s="95"/>
      <c r="G342" s="73">
        <f t="shared" si="18"/>
        <v>1950</v>
      </c>
    </row>
    <row r="343" spans="1:7" ht="25.5" customHeight="1" x14ac:dyDescent="0.3">
      <c r="A343" s="69"/>
      <c r="B343" s="68" t="s">
        <v>602</v>
      </c>
      <c r="C343" s="73"/>
      <c r="D343" s="73">
        <v>8890</v>
      </c>
      <c r="E343" s="95"/>
      <c r="F343" s="95"/>
      <c r="G343" s="73">
        <f t="shared" si="18"/>
        <v>8890</v>
      </c>
    </row>
    <row r="344" spans="1:7" s="65" customFormat="1" ht="33" customHeight="1" x14ac:dyDescent="0.3">
      <c r="A344" s="69"/>
      <c r="B344" s="68" t="s">
        <v>778</v>
      </c>
      <c r="C344" s="73"/>
      <c r="D344" s="73">
        <v>2640</v>
      </c>
      <c r="E344" s="95"/>
      <c r="F344" s="95"/>
      <c r="G344" s="73">
        <f t="shared" si="18"/>
        <v>2640</v>
      </c>
    </row>
    <row r="345" spans="1:7" ht="25.5" customHeight="1" x14ac:dyDescent="0.3">
      <c r="A345" s="69"/>
      <c r="B345" s="68" t="s">
        <v>603</v>
      </c>
      <c r="C345" s="73"/>
      <c r="D345" s="73">
        <v>6110</v>
      </c>
      <c r="E345" s="95"/>
      <c r="F345" s="95"/>
      <c r="G345" s="73">
        <f t="shared" si="18"/>
        <v>6110</v>
      </c>
    </row>
    <row r="346" spans="1:7" ht="31.5" customHeight="1" x14ac:dyDescent="0.3">
      <c r="A346" s="69"/>
      <c r="B346" s="68" t="s">
        <v>779</v>
      </c>
      <c r="C346" s="73"/>
      <c r="D346" s="73">
        <v>5970</v>
      </c>
      <c r="E346" s="95"/>
      <c r="F346" s="95"/>
      <c r="G346" s="73">
        <f t="shared" si="18"/>
        <v>5970</v>
      </c>
    </row>
    <row r="347" spans="1:7" ht="31.5" customHeight="1" x14ac:dyDescent="0.3">
      <c r="A347" s="69"/>
      <c r="B347" s="68" t="s">
        <v>780</v>
      </c>
      <c r="C347" s="73"/>
      <c r="D347" s="73">
        <v>780</v>
      </c>
      <c r="E347" s="95"/>
      <c r="F347" s="95"/>
      <c r="G347" s="73">
        <f t="shared" si="18"/>
        <v>780</v>
      </c>
    </row>
    <row r="348" spans="1:7" ht="31.5" customHeight="1" x14ac:dyDescent="0.3">
      <c r="A348" s="69"/>
      <c r="B348" s="68" t="s">
        <v>399</v>
      </c>
      <c r="C348" s="73"/>
      <c r="D348" s="73">
        <v>2450</v>
      </c>
      <c r="E348" s="95"/>
      <c r="F348" s="95"/>
      <c r="G348" s="73">
        <f t="shared" si="18"/>
        <v>2450</v>
      </c>
    </row>
    <row r="349" spans="1:7" ht="15" customHeight="1" x14ac:dyDescent="0.3">
      <c r="A349" s="69"/>
      <c r="B349" s="68" t="s">
        <v>604</v>
      </c>
      <c r="C349" s="73"/>
      <c r="D349" s="73">
        <v>21900</v>
      </c>
      <c r="E349" s="95"/>
      <c r="F349" s="95"/>
      <c r="G349" s="73">
        <f t="shared" si="18"/>
        <v>21900</v>
      </c>
    </row>
    <row r="350" spans="1:7" ht="15" customHeight="1" x14ac:dyDescent="0.3">
      <c r="A350" s="69"/>
      <c r="B350" s="68" t="s">
        <v>605</v>
      </c>
      <c r="C350" s="73"/>
      <c r="D350" s="73">
        <v>6255</v>
      </c>
      <c r="E350" s="95"/>
      <c r="F350" s="95"/>
      <c r="G350" s="73">
        <f t="shared" si="18"/>
        <v>6255</v>
      </c>
    </row>
    <row r="351" spans="1:7" ht="15" customHeight="1" x14ac:dyDescent="0.3">
      <c r="A351" s="69"/>
      <c r="B351" s="68" t="s">
        <v>606</v>
      </c>
      <c r="C351" s="73"/>
      <c r="D351" s="73">
        <v>11140</v>
      </c>
      <c r="E351" s="95"/>
      <c r="F351" s="95"/>
      <c r="G351" s="73">
        <f t="shared" si="18"/>
        <v>11140</v>
      </c>
    </row>
    <row r="352" spans="1:7" ht="15" customHeight="1" x14ac:dyDescent="0.3">
      <c r="A352" s="69"/>
      <c r="B352" s="68" t="s">
        <v>607</v>
      </c>
      <c r="C352" s="73"/>
      <c r="D352" s="73">
        <v>5232</v>
      </c>
      <c r="E352" s="95"/>
      <c r="F352" s="95"/>
      <c r="G352" s="73">
        <f t="shared" si="18"/>
        <v>5232</v>
      </c>
    </row>
    <row r="353" spans="1:7" ht="15" customHeight="1" x14ac:dyDescent="0.3">
      <c r="A353" s="70" t="s">
        <v>400</v>
      </c>
      <c r="B353" s="70" t="s">
        <v>401</v>
      </c>
      <c r="C353" s="72"/>
      <c r="D353" s="72">
        <f>SUM(D354:D358)</f>
        <v>4484</v>
      </c>
      <c r="E353" s="72">
        <f>SUM(E354:E358)</f>
        <v>0</v>
      </c>
      <c r="F353" s="72"/>
      <c r="G353" s="72">
        <f t="shared" si="18"/>
        <v>4484</v>
      </c>
    </row>
    <row r="354" spans="1:7" ht="15" customHeight="1" x14ac:dyDescent="0.3">
      <c r="A354" s="69"/>
      <c r="B354" s="68" t="s">
        <v>11</v>
      </c>
      <c r="C354" s="73"/>
      <c r="D354" s="73">
        <v>1591</v>
      </c>
      <c r="E354" s="95"/>
      <c r="F354" s="95"/>
      <c r="G354" s="73">
        <f t="shared" si="18"/>
        <v>1591</v>
      </c>
    </row>
    <row r="355" spans="1:7" ht="15" customHeight="1" x14ac:dyDescent="0.3">
      <c r="A355" s="69"/>
      <c r="B355" s="68" t="s">
        <v>12</v>
      </c>
      <c r="C355" s="73"/>
      <c r="D355" s="73">
        <v>2244</v>
      </c>
      <c r="E355" s="95"/>
      <c r="F355" s="95"/>
      <c r="G355" s="73">
        <f t="shared" si="18"/>
        <v>2244</v>
      </c>
    </row>
    <row r="356" spans="1:7" ht="15" customHeight="1" x14ac:dyDescent="0.3">
      <c r="A356" s="69"/>
      <c r="B356" s="68" t="s">
        <v>14</v>
      </c>
      <c r="C356" s="73"/>
      <c r="D356" s="73">
        <v>115</v>
      </c>
      <c r="E356" s="95"/>
      <c r="F356" s="95"/>
      <c r="G356" s="73">
        <f t="shared" si="18"/>
        <v>115</v>
      </c>
    </row>
    <row r="357" spans="1:7" ht="15" customHeight="1" x14ac:dyDescent="0.3">
      <c r="A357" s="69"/>
      <c r="B357" s="68" t="s">
        <v>15</v>
      </c>
      <c r="C357" s="73"/>
      <c r="D357" s="73">
        <v>469</v>
      </c>
      <c r="E357" s="95"/>
      <c r="F357" s="95"/>
      <c r="G357" s="73">
        <f t="shared" si="18"/>
        <v>469</v>
      </c>
    </row>
    <row r="358" spans="1:7" ht="15" customHeight="1" x14ac:dyDescent="0.3">
      <c r="A358" s="69"/>
      <c r="B358" s="68" t="s">
        <v>17</v>
      </c>
      <c r="C358" s="73"/>
      <c r="D358" s="73">
        <v>65</v>
      </c>
      <c r="E358" s="95"/>
      <c r="F358" s="95"/>
      <c r="G358" s="73">
        <f t="shared" si="18"/>
        <v>65</v>
      </c>
    </row>
    <row r="359" spans="1:7" ht="65.25" customHeight="1" x14ac:dyDescent="0.3">
      <c r="A359" s="70" t="s">
        <v>728</v>
      </c>
      <c r="B359" s="71" t="s">
        <v>729</v>
      </c>
      <c r="C359" s="72"/>
      <c r="D359" s="72"/>
      <c r="E359" s="94"/>
      <c r="F359" s="94">
        <f>SUM(F360:F361)</f>
        <v>2004</v>
      </c>
      <c r="G359" s="72">
        <f>SUM(G360:G361)</f>
        <v>2004</v>
      </c>
    </row>
    <row r="360" spans="1:7" ht="15" customHeight="1" x14ac:dyDescent="0.3">
      <c r="A360" s="69"/>
      <c r="B360" s="68" t="s">
        <v>560</v>
      </c>
      <c r="C360" s="73"/>
      <c r="D360" s="73"/>
      <c r="E360" s="95"/>
      <c r="F360" s="200">
        <v>1257</v>
      </c>
      <c r="G360" s="139">
        <f>D360+F360</f>
        <v>1257</v>
      </c>
    </row>
    <row r="361" spans="1:7" ht="15" customHeight="1" x14ac:dyDescent="0.3">
      <c r="A361" s="69"/>
      <c r="B361" s="68" t="s">
        <v>30</v>
      </c>
      <c r="C361" s="73"/>
      <c r="D361" s="73"/>
      <c r="E361" s="95"/>
      <c r="F361" s="200">
        <v>747</v>
      </c>
      <c r="G361" s="139">
        <f>D361+F361</f>
        <v>747</v>
      </c>
    </row>
    <row r="362" spans="1:7" s="66" customFormat="1" ht="15" customHeight="1" x14ac:dyDescent="0.3">
      <c r="A362" s="70" t="s">
        <v>402</v>
      </c>
      <c r="B362" s="71" t="s">
        <v>403</v>
      </c>
      <c r="C362" s="72"/>
      <c r="D362" s="72">
        <f>D363+D375+D376+D401</f>
        <v>453865</v>
      </c>
      <c r="E362" s="72">
        <f>E363+E375+E376+E401</f>
        <v>0</v>
      </c>
      <c r="F362" s="72"/>
      <c r="G362" s="72">
        <f t="shared" ref="G362:G395" si="19">D362</f>
        <v>453865</v>
      </c>
    </row>
    <row r="363" spans="1:7" ht="15" customHeight="1" x14ac:dyDescent="0.3">
      <c r="A363" s="70" t="s">
        <v>404</v>
      </c>
      <c r="B363" s="71" t="s">
        <v>405</v>
      </c>
      <c r="C363" s="72"/>
      <c r="D363" s="72">
        <f>SUM(D364:D374)</f>
        <v>214816</v>
      </c>
      <c r="E363" s="72">
        <f>SUM(E364:E374)</f>
        <v>0</v>
      </c>
      <c r="F363" s="72"/>
      <c r="G363" s="72">
        <f>D363</f>
        <v>214816</v>
      </c>
    </row>
    <row r="364" spans="1:7" ht="15" customHeight="1" x14ac:dyDescent="0.3">
      <c r="A364" s="69"/>
      <c r="B364" s="68" t="s">
        <v>60</v>
      </c>
      <c r="C364" s="73"/>
      <c r="D364" s="73">
        <v>45385</v>
      </c>
      <c r="E364" s="95"/>
      <c r="F364" s="95"/>
      <c r="G364" s="73">
        <f t="shared" si="19"/>
        <v>45385</v>
      </c>
    </row>
    <row r="365" spans="1:7" ht="15" customHeight="1" x14ac:dyDescent="0.3">
      <c r="A365" s="69"/>
      <c r="B365" s="68" t="s">
        <v>100</v>
      </c>
      <c r="C365" s="73"/>
      <c r="D365" s="73">
        <v>10360</v>
      </c>
      <c r="E365" s="95"/>
      <c r="F365" s="95"/>
      <c r="G365" s="73">
        <f t="shared" si="19"/>
        <v>10360</v>
      </c>
    </row>
    <row r="366" spans="1:7" ht="15" customHeight="1" x14ac:dyDescent="0.3">
      <c r="A366" s="69"/>
      <c r="B366" s="68" t="s">
        <v>153</v>
      </c>
      <c r="C366" s="73"/>
      <c r="D366" s="73">
        <v>11716</v>
      </c>
      <c r="E366" s="95"/>
      <c r="F366" s="95"/>
      <c r="G366" s="73">
        <f t="shared" si="19"/>
        <v>11716</v>
      </c>
    </row>
    <row r="367" spans="1:7" ht="15" customHeight="1" x14ac:dyDescent="0.3">
      <c r="A367" s="69"/>
      <c r="B367" s="68" t="s">
        <v>549</v>
      </c>
      <c r="C367" s="73"/>
      <c r="D367" s="73">
        <v>4404</v>
      </c>
      <c r="E367" s="95"/>
      <c r="F367" s="95"/>
      <c r="G367" s="73">
        <f t="shared" si="19"/>
        <v>4404</v>
      </c>
    </row>
    <row r="368" spans="1:7" ht="16.5" customHeight="1" x14ac:dyDescent="0.3">
      <c r="A368" s="69"/>
      <c r="B368" s="69" t="s">
        <v>97</v>
      </c>
      <c r="C368" s="73"/>
      <c r="D368" s="73">
        <v>4887</v>
      </c>
      <c r="E368" s="95"/>
      <c r="F368" s="95"/>
      <c r="G368" s="73">
        <f t="shared" si="19"/>
        <v>4887</v>
      </c>
    </row>
    <row r="369" spans="1:7" ht="16.5" customHeight="1" x14ac:dyDescent="0.3">
      <c r="A369" s="69"/>
      <c r="B369" s="69" t="s">
        <v>30</v>
      </c>
      <c r="C369" s="73"/>
      <c r="D369" s="73">
        <v>42867</v>
      </c>
      <c r="E369" s="95"/>
      <c r="F369" s="95"/>
      <c r="G369" s="73">
        <f t="shared" si="19"/>
        <v>42867</v>
      </c>
    </row>
    <row r="370" spans="1:7" ht="16.5" customHeight="1" x14ac:dyDescent="0.3">
      <c r="A370" s="69"/>
      <c r="B370" s="69" t="s">
        <v>99</v>
      </c>
      <c r="C370" s="73"/>
      <c r="D370" s="73">
        <v>5900</v>
      </c>
      <c r="E370" s="95"/>
      <c r="F370" s="95"/>
      <c r="G370" s="73">
        <f t="shared" si="19"/>
        <v>5900</v>
      </c>
    </row>
    <row r="371" spans="1:7" ht="16.5" customHeight="1" x14ac:dyDescent="0.3">
      <c r="A371" s="69"/>
      <c r="B371" s="69" t="s">
        <v>40</v>
      </c>
      <c r="C371" s="73"/>
      <c r="D371" s="73">
        <v>31789</v>
      </c>
      <c r="E371" s="95"/>
      <c r="F371" s="95"/>
      <c r="G371" s="73">
        <f t="shared" si="19"/>
        <v>31789</v>
      </c>
    </row>
    <row r="372" spans="1:7" ht="16.5" customHeight="1" x14ac:dyDescent="0.3">
      <c r="A372" s="69"/>
      <c r="B372" s="69" t="s">
        <v>508</v>
      </c>
      <c r="C372" s="73"/>
      <c r="D372" s="73">
        <v>23000</v>
      </c>
      <c r="E372" s="95"/>
      <c r="F372" s="95"/>
      <c r="G372" s="73">
        <f t="shared" si="19"/>
        <v>23000</v>
      </c>
    </row>
    <row r="373" spans="1:7" ht="15" customHeight="1" x14ac:dyDescent="0.3">
      <c r="A373" s="69"/>
      <c r="B373" s="69" t="s">
        <v>94</v>
      </c>
      <c r="C373" s="73"/>
      <c r="D373" s="73">
        <v>13167</v>
      </c>
      <c r="E373" s="95"/>
      <c r="F373" s="95"/>
      <c r="G373" s="73">
        <f t="shared" si="19"/>
        <v>13167</v>
      </c>
    </row>
    <row r="374" spans="1:7" ht="15" customHeight="1" x14ac:dyDescent="0.3">
      <c r="A374" s="69"/>
      <c r="B374" s="69" t="s">
        <v>101</v>
      </c>
      <c r="C374" s="73"/>
      <c r="D374" s="73">
        <v>21341</v>
      </c>
      <c r="E374" s="95"/>
      <c r="F374" s="95"/>
      <c r="G374" s="73">
        <f t="shared" si="19"/>
        <v>21341</v>
      </c>
    </row>
    <row r="375" spans="1:7" ht="15" customHeight="1" x14ac:dyDescent="0.3">
      <c r="A375" s="70" t="s">
        <v>406</v>
      </c>
      <c r="B375" s="71" t="s">
        <v>407</v>
      </c>
      <c r="C375" s="72"/>
      <c r="D375" s="72">
        <v>105676</v>
      </c>
      <c r="E375" s="94"/>
      <c r="F375" s="94"/>
      <c r="G375" s="72">
        <f t="shared" si="19"/>
        <v>105676</v>
      </c>
    </row>
    <row r="376" spans="1:7" ht="15" customHeight="1" x14ac:dyDescent="0.3">
      <c r="A376" s="70" t="s">
        <v>408</v>
      </c>
      <c r="B376" s="70" t="s">
        <v>409</v>
      </c>
      <c r="C376" s="72"/>
      <c r="D376" s="72">
        <f>SUM(D377:D400)</f>
        <v>76980</v>
      </c>
      <c r="E376" s="72">
        <f>SUM(E377:E400)</f>
        <v>0</v>
      </c>
      <c r="F376" s="72"/>
      <c r="G376" s="72">
        <f>D376</f>
        <v>76980</v>
      </c>
    </row>
    <row r="377" spans="1:7" ht="21" customHeight="1" x14ac:dyDescent="0.3">
      <c r="A377" s="69"/>
      <c r="B377" s="69" t="s">
        <v>113</v>
      </c>
      <c r="C377" s="73"/>
      <c r="D377" s="73">
        <v>21000</v>
      </c>
      <c r="E377" s="95"/>
      <c r="F377" s="95"/>
      <c r="G377" s="73">
        <f t="shared" si="19"/>
        <v>21000</v>
      </c>
    </row>
    <row r="378" spans="1:7" ht="19.5" customHeight="1" x14ac:dyDescent="0.3">
      <c r="A378" s="69"/>
      <c r="B378" s="69" t="s">
        <v>4</v>
      </c>
      <c r="C378" s="73"/>
      <c r="D378" s="73">
        <v>1300</v>
      </c>
      <c r="E378" s="95"/>
      <c r="F378" s="95"/>
      <c r="G378" s="73">
        <f t="shared" si="19"/>
        <v>1300</v>
      </c>
    </row>
    <row r="379" spans="1:7" ht="21" customHeight="1" x14ac:dyDescent="0.3">
      <c r="A379" s="69"/>
      <c r="B379" s="69" t="s">
        <v>410</v>
      </c>
      <c r="C379" s="73"/>
      <c r="D379" s="73">
        <v>34000</v>
      </c>
      <c r="E379" s="95"/>
      <c r="F379" s="95"/>
      <c r="G379" s="73">
        <f t="shared" si="19"/>
        <v>34000</v>
      </c>
    </row>
    <row r="380" spans="1:7" ht="15" customHeight="1" x14ac:dyDescent="0.3">
      <c r="A380" s="69"/>
      <c r="B380" s="75" t="s">
        <v>530</v>
      </c>
      <c r="C380" s="73"/>
      <c r="D380" s="73">
        <v>600</v>
      </c>
      <c r="E380" s="95"/>
      <c r="F380" s="95"/>
      <c r="G380" s="73">
        <f t="shared" si="19"/>
        <v>600</v>
      </c>
    </row>
    <row r="381" spans="1:7" ht="19.5" customHeight="1" x14ac:dyDescent="0.3">
      <c r="A381" s="69"/>
      <c r="B381" s="68" t="s">
        <v>540</v>
      </c>
      <c r="C381" s="73"/>
      <c r="D381" s="73">
        <v>1300</v>
      </c>
      <c r="E381" s="95"/>
      <c r="F381" s="95"/>
      <c r="G381" s="73">
        <f t="shared" si="19"/>
        <v>1300</v>
      </c>
    </row>
    <row r="382" spans="1:7" ht="18.75" customHeight="1" x14ac:dyDescent="0.3">
      <c r="A382" s="69"/>
      <c r="B382" s="69" t="s">
        <v>570</v>
      </c>
      <c r="C382" s="73"/>
      <c r="D382" s="73">
        <v>225</v>
      </c>
      <c r="E382" s="95"/>
      <c r="F382" s="95"/>
      <c r="G382" s="73">
        <f t="shared" si="19"/>
        <v>225</v>
      </c>
    </row>
    <row r="383" spans="1:7" ht="19.5" customHeight="1" x14ac:dyDescent="0.3">
      <c r="A383" s="69"/>
      <c r="B383" s="75" t="s">
        <v>83</v>
      </c>
      <c r="C383" s="73"/>
      <c r="D383" s="73">
        <v>1400</v>
      </c>
      <c r="E383" s="95"/>
      <c r="F383" s="95"/>
      <c r="G383" s="73">
        <f t="shared" si="19"/>
        <v>1400</v>
      </c>
    </row>
    <row r="384" spans="1:7" ht="21.75" customHeight="1" x14ac:dyDescent="0.3">
      <c r="A384" s="69"/>
      <c r="B384" s="69" t="s">
        <v>515</v>
      </c>
      <c r="C384" s="73"/>
      <c r="D384" s="73">
        <v>1500</v>
      </c>
      <c r="E384" s="95"/>
      <c r="F384" s="95"/>
      <c r="G384" s="73">
        <f t="shared" si="19"/>
        <v>1500</v>
      </c>
    </row>
    <row r="385" spans="1:7" ht="17.25" customHeight="1" x14ac:dyDescent="0.3">
      <c r="A385" s="69"/>
      <c r="B385" s="69" t="s">
        <v>531</v>
      </c>
      <c r="C385" s="73"/>
      <c r="D385" s="73">
        <v>3000</v>
      </c>
      <c r="E385" s="95"/>
      <c r="F385" s="95"/>
      <c r="G385" s="73">
        <f t="shared" si="19"/>
        <v>3000</v>
      </c>
    </row>
    <row r="386" spans="1:7" ht="22.5" customHeight="1" x14ac:dyDescent="0.3">
      <c r="A386" s="69"/>
      <c r="B386" s="68" t="s">
        <v>532</v>
      </c>
      <c r="C386" s="73"/>
      <c r="D386" s="73">
        <v>400</v>
      </c>
      <c r="E386" s="95"/>
      <c r="F386" s="95"/>
      <c r="G386" s="73">
        <f t="shared" si="19"/>
        <v>400</v>
      </c>
    </row>
    <row r="387" spans="1:7" ht="21.75" customHeight="1" x14ac:dyDescent="0.3">
      <c r="A387" s="69"/>
      <c r="B387" s="75" t="s">
        <v>523</v>
      </c>
      <c r="C387" s="73"/>
      <c r="D387" s="73">
        <v>100</v>
      </c>
      <c r="E387" s="95"/>
      <c r="F387" s="95"/>
      <c r="G387" s="73">
        <f t="shared" si="19"/>
        <v>100</v>
      </c>
    </row>
    <row r="388" spans="1:7" ht="18.75" customHeight="1" x14ac:dyDescent="0.3">
      <c r="A388" s="69"/>
      <c r="B388" s="69" t="s">
        <v>537</v>
      </c>
      <c r="C388" s="73"/>
      <c r="D388" s="73">
        <v>300</v>
      </c>
      <c r="E388" s="95"/>
      <c r="F388" s="95"/>
      <c r="G388" s="73">
        <f t="shared" si="19"/>
        <v>300</v>
      </c>
    </row>
    <row r="389" spans="1:7" ht="19.5" customHeight="1" x14ac:dyDescent="0.3">
      <c r="A389" s="69"/>
      <c r="B389" s="75" t="s">
        <v>536</v>
      </c>
      <c r="C389" s="73"/>
      <c r="D389" s="73">
        <v>475</v>
      </c>
      <c r="E389" s="95"/>
      <c r="F389" s="95"/>
      <c r="G389" s="73">
        <f t="shared" si="19"/>
        <v>475</v>
      </c>
    </row>
    <row r="390" spans="1:7" ht="15.6" x14ac:dyDescent="0.3">
      <c r="A390" s="69"/>
      <c r="B390" s="68" t="s">
        <v>499</v>
      </c>
      <c r="C390" s="73"/>
      <c r="D390" s="73">
        <v>500</v>
      </c>
      <c r="E390" s="95"/>
      <c r="F390" s="95"/>
      <c r="G390" s="73">
        <f t="shared" si="19"/>
        <v>500</v>
      </c>
    </row>
    <row r="391" spans="1:7" ht="20.25" customHeight="1" x14ac:dyDescent="0.3">
      <c r="A391" s="69"/>
      <c r="B391" s="68" t="s">
        <v>61</v>
      </c>
      <c r="C391" s="73"/>
      <c r="D391" s="73">
        <v>1140</v>
      </c>
      <c r="E391" s="95"/>
      <c r="F391" s="95"/>
      <c r="G391" s="73">
        <f t="shared" si="19"/>
        <v>1140</v>
      </c>
    </row>
    <row r="392" spans="1:7" ht="23.25" customHeight="1" x14ac:dyDescent="0.3">
      <c r="A392" s="69"/>
      <c r="B392" s="68" t="s">
        <v>533</v>
      </c>
      <c r="C392" s="73"/>
      <c r="D392" s="73">
        <v>1700</v>
      </c>
      <c r="E392" s="95"/>
      <c r="F392" s="95"/>
      <c r="G392" s="73">
        <f t="shared" si="19"/>
        <v>1700</v>
      </c>
    </row>
    <row r="393" spans="1:7" ht="21.75" customHeight="1" x14ac:dyDescent="0.3">
      <c r="A393" s="69"/>
      <c r="B393" s="68" t="s">
        <v>534</v>
      </c>
      <c r="C393" s="73"/>
      <c r="D393" s="73">
        <v>900</v>
      </c>
      <c r="E393" s="95"/>
      <c r="F393" s="95"/>
      <c r="G393" s="73">
        <f t="shared" si="19"/>
        <v>900</v>
      </c>
    </row>
    <row r="394" spans="1:7" ht="24.75" customHeight="1" x14ac:dyDescent="0.3">
      <c r="A394" s="69"/>
      <c r="B394" s="68" t="s">
        <v>654</v>
      </c>
      <c r="C394" s="73"/>
      <c r="D394" s="73">
        <v>1000</v>
      </c>
      <c r="E394" s="95"/>
      <c r="F394" s="95"/>
      <c r="G394" s="73">
        <f t="shared" si="19"/>
        <v>1000</v>
      </c>
    </row>
    <row r="395" spans="1:7" ht="21.75" customHeight="1" x14ac:dyDescent="0.3">
      <c r="A395" s="69"/>
      <c r="B395" s="68" t="s">
        <v>40</v>
      </c>
      <c r="C395" s="73"/>
      <c r="D395" s="73">
        <v>2000</v>
      </c>
      <c r="E395" s="95"/>
      <c r="F395" s="95"/>
      <c r="G395" s="73">
        <f t="shared" si="19"/>
        <v>2000</v>
      </c>
    </row>
    <row r="396" spans="1:7" ht="19.5" customHeight="1" x14ac:dyDescent="0.3">
      <c r="A396" s="69"/>
      <c r="B396" s="68" t="s">
        <v>101</v>
      </c>
      <c r="C396" s="73"/>
      <c r="D396" s="73">
        <v>40</v>
      </c>
      <c r="E396" s="95"/>
      <c r="F396" s="95"/>
      <c r="G396" s="73">
        <f t="shared" ref="G396:G420" si="20">D396</f>
        <v>40</v>
      </c>
    </row>
    <row r="397" spans="1:7" ht="15.6" x14ac:dyDescent="0.3">
      <c r="A397" s="69"/>
      <c r="B397" s="75" t="s">
        <v>535</v>
      </c>
      <c r="C397" s="73"/>
      <c r="D397" s="73">
        <v>1000</v>
      </c>
      <c r="E397" s="95"/>
      <c r="F397" s="95"/>
      <c r="G397" s="73">
        <f t="shared" si="20"/>
        <v>1000</v>
      </c>
    </row>
    <row r="398" spans="1:7" ht="18" customHeight="1" x14ac:dyDescent="0.3">
      <c r="A398" s="69"/>
      <c r="B398" s="68" t="s">
        <v>571</v>
      </c>
      <c r="C398" s="73"/>
      <c r="D398" s="73">
        <v>2400</v>
      </c>
      <c r="E398" s="95"/>
      <c r="F398" s="95"/>
      <c r="G398" s="73">
        <f t="shared" si="20"/>
        <v>2400</v>
      </c>
    </row>
    <row r="399" spans="1:7" ht="19.5" customHeight="1" x14ac:dyDescent="0.3">
      <c r="A399" s="69"/>
      <c r="B399" s="68" t="s">
        <v>518</v>
      </c>
      <c r="C399" s="73"/>
      <c r="D399" s="73">
        <v>300</v>
      </c>
      <c r="E399" s="95"/>
      <c r="F399" s="95"/>
      <c r="G399" s="73">
        <f t="shared" si="20"/>
        <v>300</v>
      </c>
    </row>
    <row r="400" spans="1:7" ht="17.25" customHeight="1" x14ac:dyDescent="0.3">
      <c r="A400" s="69"/>
      <c r="B400" s="68" t="s">
        <v>153</v>
      </c>
      <c r="C400" s="73"/>
      <c r="D400" s="73">
        <v>400</v>
      </c>
      <c r="E400" s="95"/>
      <c r="F400" s="95"/>
      <c r="G400" s="73">
        <f t="shared" si="20"/>
        <v>400</v>
      </c>
    </row>
    <row r="401" spans="1:7" ht="15" customHeight="1" x14ac:dyDescent="0.3">
      <c r="A401" s="70" t="s">
        <v>411</v>
      </c>
      <c r="B401" s="70" t="s">
        <v>412</v>
      </c>
      <c r="C401" s="72"/>
      <c r="D401" s="72">
        <f>SUM(D402:D418)</f>
        <v>56393</v>
      </c>
      <c r="E401" s="72">
        <f>SUM(E402:E418)</f>
        <v>0</v>
      </c>
      <c r="F401" s="72"/>
      <c r="G401" s="72">
        <f t="shared" si="20"/>
        <v>56393</v>
      </c>
    </row>
    <row r="402" spans="1:7" ht="15" customHeight="1" x14ac:dyDescent="0.3">
      <c r="A402" s="69"/>
      <c r="B402" s="69" t="s">
        <v>26</v>
      </c>
      <c r="C402" s="73"/>
      <c r="D402" s="73">
        <v>2200</v>
      </c>
      <c r="E402" s="95"/>
      <c r="F402" s="95"/>
      <c r="G402" s="73">
        <f t="shared" si="20"/>
        <v>2200</v>
      </c>
    </row>
    <row r="403" spans="1:7" ht="15" customHeight="1" x14ac:dyDescent="0.3">
      <c r="A403" s="69"/>
      <c r="B403" s="69" t="s">
        <v>27</v>
      </c>
      <c r="C403" s="73"/>
      <c r="D403" s="73">
        <v>2600</v>
      </c>
      <c r="E403" s="95"/>
      <c r="F403" s="95"/>
      <c r="G403" s="73">
        <f t="shared" si="20"/>
        <v>2600</v>
      </c>
    </row>
    <row r="404" spans="1:7" ht="15" customHeight="1" x14ac:dyDescent="0.3">
      <c r="A404" s="69"/>
      <c r="B404" s="69" t="s">
        <v>488</v>
      </c>
      <c r="C404" s="73"/>
      <c r="D404" s="73">
        <v>1875</v>
      </c>
      <c r="E404" s="95"/>
      <c r="F404" s="95"/>
      <c r="G404" s="73">
        <f t="shared" si="20"/>
        <v>1875</v>
      </c>
    </row>
    <row r="405" spans="1:7" ht="15" customHeight="1" x14ac:dyDescent="0.3">
      <c r="A405" s="69"/>
      <c r="B405" s="69" t="s">
        <v>413</v>
      </c>
      <c r="C405" s="73"/>
      <c r="D405" s="73">
        <v>1215</v>
      </c>
      <c r="E405" s="95"/>
      <c r="F405" s="95"/>
      <c r="G405" s="73">
        <f t="shared" si="20"/>
        <v>1215</v>
      </c>
    </row>
    <row r="406" spans="1:7" ht="15" customHeight="1" x14ac:dyDescent="0.3">
      <c r="A406" s="69"/>
      <c r="B406" s="69" t="s">
        <v>358</v>
      </c>
      <c r="C406" s="73"/>
      <c r="D406" s="73">
        <v>1300</v>
      </c>
      <c r="E406" s="95"/>
      <c r="F406" s="95"/>
      <c r="G406" s="73">
        <f t="shared" si="20"/>
        <v>1300</v>
      </c>
    </row>
    <row r="407" spans="1:7" ht="15" customHeight="1" x14ac:dyDescent="0.3">
      <c r="A407" s="69"/>
      <c r="B407" s="69" t="s">
        <v>100</v>
      </c>
      <c r="C407" s="73"/>
      <c r="D407" s="73">
        <v>764</v>
      </c>
      <c r="E407" s="95"/>
      <c r="F407" s="95"/>
      <c r="G407" s="73">
        <f t="shared" si="20"/>
        <v>764</v>
      </c>
    </row>
    <row r="408" spans="1:7" ht="15" customHeight="1" x14ac:dyDescent="0.3">
      <c r="A408" s="69"/>
      <c r="B408" s="69" t="s">
        <v>97</v>
      </c>
      <c r="C408" s="73"/>
      <c r="D408" s="73">
        <v>4000</v>
      </c>
      <c r="E408" s="95"/>
      <c r="F408" s="95"/>
      <c r="G408" s="73">
        <f t="shared" si="20"/>
        <v>4000</v>
      </c>
    </row>
    <row r="409" spans="1:7" ht="15" customHeight="1" x14ac:dyDescent="0.3">
      <c r="A409" s="69"/>
      <c r="B409" s="69" t="s">
        <v>29</v>
      </c>
      <c r="C409" s="73"/>
      <c r="D409" s="73">
        <v>3819</v>
      </c>
      <c r="E409" s="95"/>
      <c r="F409" s="95"/>
      <c r="G409" s="73">
        <f t="shared" si="20"/>
        <v>3819</v>
      </c>
    </row>
    <row r="410" spans="1:7" ht="15" customHeight="1" x14ac:dyDescent="0.3">
      <c r="A410" s="69"/>
      <c r="B410" s="69" t="s">
        <v>153</v>
      </c>
      <c r="C410" s="73"/>
      <c r="D410" s="73">
        <v>8841</v>
      </c>
      <c r="E410" s="95"/>
      <c r="F410" s="95"/>
      <c r="G410" s="73">
        <f t="shared" si="20"/>
        <v>8841</v>
      </c>
    </row>
    <row r="411" spans="1:7" ht="19.5" customHeight="1" x14ac:dyDescent="0.3">
      <c r="A411" s="69"/>
      <c r="B411" s="69" t="s">
        <v>500</v>
      </c>
      <c r="C411" s="73"/>
      <c r="D411" s="73">
        <v>1285</v>
      </c>
      <c r="E411" s="95"/>
      <c r="F411" s="95"/>
      <c r="G411" s="73">
        <f t="shared" si="20"/>
        <v>1285</v>
      </c>
    </row>
    <row r="412" spans="1:7" ht="15" customHeight="1" x14ac:dyDescent="0.3">
      <c r="A412" s="69"/>
      <c r="B412" s="69" t="s">
        <v>99</v>
      </c>
      <c r="C412" s="73"/>
      <c r="D412" s="73">
        <v>4100</v>
      </c>
      <c r="E412" s="95"/>
      <c r="F412" s="95"/>
      <c r="G412" s="73">
        <f t="shared" si="20"/>
        <v>4100</v>
      </c>
    </row>
    <row r="413" spans="1:7" ht="15" customHeight="1" x14ac:dyDescent="0.3">
      <c r="A413" s="69"/>
      <c r="B413" s="69" t="s">
        <v>94</v>
      </c>
      <c r="C413" s="73"/>
      <c r="D413" s="73">
        <v>5900</v>
      </c>
      <c r="E413" s="95"/>
      <c r="F413" s="95"/>
      <c r="G413" s="73">
        <f t="shared" si="20"/>
        <v>5900</v>
      </c>
    </row>
    <row r="414" spans="1:7" ht="15" customHeight="1" x14ac:dyDescent="0.3">
      <c r="A414" s="69"/>
      <c r="B414" s="69" t="s">
        <v>101</v>
      </c>
      <c r="C414" s="73"/>
      <c r="D414" s="73">
        <v>5000</v>
      </c>
      <c r="E414" s="95"/>
      <c r="F414" s="95"/>
      <c r="G414" s="73">
        <f t="shared" si="20"/>
        <v>5000</v>
      </c>
    </row>
    <row r="415" spans="1:7" ht="21" customHeight="1" x14ac:dyDescent="0.3">
      <c r="A415" s="69"/>
      <c r="B415" s="69" t="s">
        <v>508</v>
      </c>
      <c r="C415" s="73"/>
      <c r="D415" s="73">
        <v>9000</v>
      </c>
      <c r="E415" s="95"/>
      <c r="F415" s="95"/>
      <c r="G415" s="73">
        <f t="shared" si="20"/>
        <v>9000</v>
      </c>
    </row>
    <row r="416" spans="1:7" ht="15.6" x14ac:dyDescent="0.3">
      <c r="A416" s="69"/>
      <c r="B416" s="69" t="s">
        <v>346</v>
      </c>
      <c r="C416" s="73"/>
      <c r="D416" s="73">
        <v>1344</v>
      </c>
      <c r="E416" s="95"/>
      <c r="F416" s="95"/>
      <c r="G416" s="73">
        <f t="shared" si="20"/>
        <v>1344</v>
      </c>
    </row>
    <row r="417" spans="1:7" ht="15.6" x14ac:dyDescent="0.3">
      <c r="A417" s="69"/>
      <c r="B417" s="75" t="s">
        <v>70</v>
      </c>
      <c r="C417" s="73"/>
      <c r="D417" s="73">
        <v>1500</v>
      </c>
      <c r="E417" s="95"/>
      <c r="F417" s="95"/>
      <c r="G417" s="73">
        <f t="shared" si="20"/>
        <v>1500</v>
      </c>
    </row>
    <row r="418" spans="1:7" ht="15.6" x14ac:dyDescent="0.3">
      <c r="A418" s="69"/>
      <c r="B418" s="68" t="s">
        <v>71</v>
      </c>
      <c r="C418" s="73"/>
      <c r="D418" s="73">
        <v>1650</v>
      </c>
      <c r="E418" s="95"/>
      <c r="F418" s="95"/>
      <c r="G418" s="73">
        <f t="shared" si="20"/>
        <v>1650</v>
      </c>
    </row>
    <row r="419" spans="1:7" ht="62.4" x14ac:dyDescent="0.3">
      <c r="A419" s="70" t="s">
        <v>414</v>
      </c>
      <c r="B419" s="71" t="s">
        <v>788</v>
      </c>
      <c r="C419" s="72"/>
      <c r="D419" s="72">
        <f>D420</f>
        <v>5000</v>
      </c>
      <c r="E419" s="95"/>
      <c r="F419" s="94">
        <f>F420+F422</f>
        <v>17500</v>
      </c>
      <c r="G419" s="72">
        <f>D419+F419</f>
        <v>22500</v>
      </c>
    </row>
    <row r="420" spans="1:7" ht="31.2" x14ac:dyDescent="0.3">
      <c r="A420" s="70" t="s">
        <v>415</v>
      </c>
      <c r="B420" s="71" t="s">
        <v>416</v>
      </c>
      <c r="C420" s="72"/>
      <c r="D420" s="72">
        <f>SUM(D421:D421)</f>
        <v>5000</v>
      </c>
      <c r="E420" s="94"/>
      <c r="F420" s="94"/>
      <c r="G420" s="72">
        <f t="shared" si="20"/>
        <v>5000</v>
      </c>
    </row>
    <row r="421" spans="1:7" ht="15.6" x14ac:dyDescent="0.3">
      <c r="A421" s="70"/>
      <c r="B421" s="68" t="s">
        <v>781</v>
      </c>
      <c r="C421" s="73"/>
      <c r="D421" s="73">
        <v>5000</v>
      </c>
      <c r="E421" s="95"/>
      <c r="F421" s="95"/>
      <c r="G421" s="73">
        <f>D421</f>
        <v>5000</v>
      </c>
    </row>
    <row r="422" spans="1:7" ht="15.6" x14ac:dyDescent="0.3">
      <c r="A422" s="70" t="s">
        <v>739</v>
      </c>
      <c r="B422" s="71" t="s">
        <v>740</v>
      </c>
      <c r="C422" s="72"/>
      <c r="D422" s="72"/>
      <c r="E422" s="94"/>
      <c r="F422" s="94">
        <f>SUM(F423:F427)</f>
        <v>17500</v>
      </c>
      <c r="G422" s="72">
        <f>D422+F422</f>
        <v>17500</v>
      </c>
    </row>
    <row r="423" spans="1:7" ht="31.2" x14ac:dyDescent="0.3">
      <c r="A423" s="70"/>
      <c r="B423" s="68" t="s">
        <v>756</v>
      </c>
      <c r="C423" s="73"/>
      <c r="D423" s="73"/>
      <c r="E423" s="95"/>
      <c r="F423" s="95">
        <v>5000</v>
      </c>
      <c r="G423" s="73">
        <f t="shared" ref="G423:G427" si="21">D423+F423</f>
        <v>5000</v>
      </c>
    </row>
    <row r="424" spans="1:7" ht="31.2" x14ac:dyDescent="0.3">
      <c r="A424" s="69"/>
      <c r="B424" s="68" t="s">
        <v>742</v>
      </c>
      <c r="C424" s="73"/>
      <c r="D424" s="73"/>
      <c r="E424" s="95"/>
      <c r="F424" s="95">
        <v>1000</v>
      </c>
      <c r="G424" s="73">
        <f t="shared" si="21"/>
        <v>1000</v>
      </c>
    </row>
    <row r="425" spans="1:7" ht="48.75" customHeight="1" x14ac:dyDescent="0.3">
      <c r="A425" s="69"/>
      <c r="B425" s="68" t="s">
        <v>743</v>
      </c>
      <c r="C425" s="73"/>
      <c r="D425" s="73"/>
      <c r="E425" s="95"/>
      <c r="F425" s="95">
        <v>4000</v>
      </c>
      <c r="G425" s="73">
        <f t="shared" si="21"/>
        <v>4000</v>
      </c>
    </row>
    <row r="426" spans="1:7" ht="15.6" x14ac:dyDescent="0.3">
      <c r="A426" s="69"/>
      <c r="B426" s="68" t="s">
        <v>744</v>
      </c>
      <c r="C426" s="73"/>
      <c r="D426" s="73"/>
      <c r="E426" s="95"/>
      <c r="F426" s="95">
        <v>4000</v>
      </c>
      <c r="G426" s="73">
        <f t="shared" si="21"/>
        <v>4000</v>
      </c>
    </row>
    <row r="427" spans="1:7" ht="31.2" x14ac:dyDescent="0.3">
      <c r="A427" s="69"/>
      <c r="B427" s="68" t="s">
        <v>741</v>
      </c>
      <c r="C427" s="73"/>
      <c r="D427" s="73"/>
      <c r="E427" s="95"/>
      <c r="F427" s="95">
        <v>3500</v>
      </c>
      <c r="G427" s="73">
        <f t="shared" si="21"/>
        <v>3500</v>
      </c>
    </row>
    <row r="429" spans="1:7" ht="14.4" customHeight="1" x14ac:dyDescent="0.35">
      <c r="A429" s="209" t="s">
        <v>789</v>
      </c>
      <c r="B429" s="209"/>
      <c r="C429" s="209"/>
      <c r="D429" s="209"/>
      <c r="E429" s="209"/>
      <c r="F429" s="209"/>
      <c r="G429" s="209"/>
    </row>
  </sheetData>
  <mergeCells count="6">
    <mergeCell ref="A429:G429"/>
    <mergeCell ref="A14:A15"/>
    <mergeCell ref="B14:B15"/>
    <mergeCell ref="G14:G15"/>
    <mergeCell ref="C14:E14"/>
    <mergeCell ref="F14:F15"/>
  </mergeCells>
  <pageMargins left="0.7" right="0.7" top="0.75" bottom="0.75" header="0.3" footer="0.3"/>
  <pageSetup paperSize="9"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apa3"/>
  <dimension ref="A1:J355"/>
  <sheetViews>
    <sheetView workbookViewId="0">
      <pane xSplit="2" ySplit="15" topLeftCell="C333" activePane="bottomRight" state="frozen"/>
      <selection pane="topRight" activeCell="C1" sqref="C1"/>
      <selection pane="bottomLeft" activeCell="A11" sqref="A11"/>
      <selection pane="bottomRight" activeCell="A335" sqref="A335:H335"/>
    </sheetView>
  </sheetViews>
  <sheetFormatPr defaultRowHeight="15.6" x14ac:dyDescent="0.3"/>
  <cols>
    <col min="1" max="1" width="14.44140625" customWidth="1"/>
    <col min="2" max="2" width="38.88671875" style="83" customWidth="1"/>
    <col min="3" max="3" width="18.33203125" style="121" customWidth="1"/>
    <col min="4" max="4" width="18.5546875" style="79" customWidth="1"/>
    <col min="5" max="5" width="15.6640625" style="79" customWidth="1"/>
    <col min="6" max="6" width="18.33203125" style="79" customWidth="1"/>
    <col min="7" max="7" width="17.33203125" style="79" customWidth="1"/>
    <col min="8" max="8" width="17.6640625" style="79" customWidth="1"/>
    <col min="9" max="9" width="12.44140625" customWidth="1"/>
    <col min="10" max="10" width="10.109375" bestFit="1" customWidth="1"/>
  </cols>
  <sheetData>
    <row r="1" spans="1:8" x14ac:dyDescent="0.3">
      <c r="H1" s="101" t="s">
        <v>790</v>
      </c>
    </row>
    <row r="2" spans="1:8" x14ac:dyDescent="0.3">
      <c r="H2" s="101" t="s">
        <v>543</v>
      </c>
    </row>
    <row r="3" spans="1:8" x14ac:dyDescent="0.3">
      <c r="H3" s="101" t="s">
        <v>759</v>
      </c>
    </row>
    <row r="4" spans="1:8" x14ac:dyDescent="0.3">
      <c r="H4" s="101" t="s">
        <v>760</v>
      </c>
    </row>
    <row r="5" spans="1:8" ht="15.75" customHeight="1" x14ac:dyDescent="0.3">
      <c r="A5" s="22"/>
      <c r="B5" s="109"/>
      <c r="C5" s="81"/>
      <c r="D5" s="81"/>
      <c r="E5" s="81"/>
      <c r="F5" s="81"/>
      <c r="G5" s="81"/>
      <c r="H5" s="101" t="s">
        <v>761</v>
      </c>
    </row>
    <row r="6" spans="1:8" ht="15.75" customHeight="1" x14ac:dyDescent="0.3">
      <c r="A6" s="22"/>
      <c r="B6" s="109"/>
      <c r="C6" s="81"/>
      <c r="D6" s="81"/>
      <c r="E6" s="81"/>
      <c r="F6" s="81"/>
      <c r="G6" s="81"/>
      <c r="H6" s="101"/>
    </row>
    <row r="7" spans="1:8" ht="15" customHeight="1" x14ac:dyDescent="0.3">
      <c r="A7" s="22"/>
      <c r="B7" s="109"/>
      <c r="C7" s="81"/>
      <c r="D7" s="81"/>
      <c r="E7" s="81"/>
      <c r="F7" s="81"/>
      <c r="G7" s="81"/>
      <c r="H7" s="80" t="s">
        <v>790</v>
      </c>
    </row>
    <row r="8" spans="1:8" ht="15" customHeight="1" x14ac:dyDescent="0.3">
      <c r="A8" s="22"/>
      <c r="B8" s="109"/>
      <c r="C8" s="81"/>
      <c r="D8" s="81"/>
      <c r="E8" s="81"/>
      <c r="F8" s="81"/>
      <c r="G8" s="81"/>
      <c r="H8" s="80" t="s">
        <v>543</v>
      </c>
    </row>
    <row r="9" spans="1:8" ht="15" customHeight="1" x14ac:dyDescent="0.3">
      <c r="A9" s="22"/>
      <c r="B9" s="109"/>
      <c r="C9" s="81"/>
      <c r="D9" s="81"/>
      <c r="E9" s="81"/>
      <c r="F9" s="81"/>
      <c r="G9" s="81"/>
      <c r="H9" s="80" t="s">
        <v>768</v>
      </c>
    </row>
    <row r="10" spans="1:8" ht="15" customHeight="1" x14ac:dyDescent="0.3">
      <c r="A10" s="22"/>
      <c r="B10" s="109"/>
      <c r="C10" s="81"/>
      <c r="D10" s="81"/>
      <c r="E10" s="81"/>
      <c r="F10" s="81"/>
      <c r="G10" s="81"/>
      <c r="H10" s="80" t="s">
        <v>763</v>
      </c>
    </row>
    <row r="11" spans="1:8" ht="15" customHeight="1" x14ac:dyDescent="0.3">
      <c r="A11" s="21"/>
      <c r="B11" s="16"/>
      <c r="C11" s="93"/>
      <c r="D11" s="93"/>
      <c r="E11" s="93"/>
      <c r="F11" s="93"/>
      <c r="G11" s="93"/>
      <c r="H11" s="81"/>
    </row>
    <row r="12" spans="1:8" ht="15" customHeight="1" x14ac:dyDescent="0.3">
      <c r="A12" s="22"/>
      <c r="B12" s="133"/>
      <c r="C12" s="105" t="s">
        <v>791</v>
      </c>
      <c r="D12" s="105"/>
      <c r="E12" s="105"/>
      <c r="F12" s="105"/>
      <c r="G12" s="105"/>
      <c r="H12" s="81"/>
    </row>
    <row r="13" spans="1:8" ht="15" customHeight="1" x14ac:dyDescent="0.3">
      <c r="A13" s="22"/>
      <c r="B13" s="110"/>
      <c r="C13" s="115"/>
      <c r="D13" s="106"/>
      <c r="E13" s="106"/>
      <c r="F13" s="106"/>
      <c r="G13" s="106"/>
      <c r="H13" s="82"/>
    </row>
    <row r="14" spans="1:8" ht="15" customHeight="1" x14ac:dyDescent="0.3">
      <c r="A14" s="12" t="s">
        <v>161</v>
      </c>
      <c r="B14" s="13" t="s">
        <v>162</v>
      </c>
      <c r="C14" s="116"/>
      <c r="D14" s="117" t="s">
        <v>163</v>
      </c>
      <c r="E14" s="107"/>
      <c r="F14" s="107"/>
      <c r="G14" s="118"/>
      <c r="H14" s="14" t="s">
        <v>164</v>
      </c>
    </row>
    <row r="15" spans="1:8" ht="45" customHeight="1" x14ac:dyDescent="0.3">
      <c r="A15" s="11"/>
      <c r="B15" s="13"/>
      <c r="C15" s="108" t="s">
        <v>485</v>
      </c>
      <c r="D15" s="108" t="s">
        <v>165</v>
      </c>
      <c r="E15" s="108" t="s">
        <v>166</v>
      </c>
      <c r="F15" s="108" t="s">
        <v>167</v>
      </c>
      <c r="G15" s="108" t="s">
        <v>168</v>
      </c>
      <c r="H15" s="14"/>
    </row>
    <row r="16" spans="1:8" ht="15" customHeight="1" x14ac:dyDescent="0.3">
      <c r="A16" s="20"/>
      <c r="B16" s="17"/>
      <c r="C16" s="137">
        <f t="shared" ref="C16:H16" si="0">C17+C32+C36+C98+C179+C190+C243+C316+C72</f>
        <v>1344827</v>
      </c>
      <c r="D16" s="137">
        <f t="shared" si="0"/>
        <v>21301794</v>
      </c>
      <c r="E16" s="137">
        <f t="shared" si="0"/>
        <v>3667612</v>
      </c>
      <c r="F16" s="137">
        <f t="shared" si="0"/>
        <v>14518762</v>
      </c>
      <c r="G16" s="137">
        <f t="shared" si="0"/>
        <v>1805188</v>
      </c>
      <c r="H16" s="125">
        <f t="shared" si="0"/>
        <v>42638183</v>
      </c>
    </row>
    <row r="17" spans="1:8" ht="15" customHeight="1" x14ac:dyDescent="0.3">
      <c r="A17" s="19" t="s">
        <v>169</v>
      </c>
      <c r="B17" s="70" t="s">
        <v>170</v>
      </c>
      <c r="C17" s="72">
        <f>SUM(C18:C31)</f>
        <v>0</v>
      </c>
      <c r="D17" s="72">
        <f t="shared" ref="D17:G17" si="1">SUM(D18:D31)</f>
        <v>3247880</v>
      </c>
      <c r="E17" s="72">
        <f t="shared" si="1"/>
        <v>7750</v>
      </c>
      <c r="F17" s="72">
        <f t="shared" si="1"/>
        <v>156004</v>
      </c>
      <c r="G17" s="72">
        <f t="shared" si="1"/>
        <v>0</v>
      </c>
      <c r="H17" s="125">
        <f>SUM(H18:H31)</f>
        <v>3411634</v>
      </c>
    </row>
    <row r="18" spans="1:8" ht="15" customHeight="1" x14ac:dyDescent="0.3">
      <c r="A18" s="53"/>
      <c r="B18" s="69" t="s">
        <v>0</v>
      </c>
      <c r="C18" s="89"/>
      <c r="D18" s="73">
        <f t="shared" ref="D18:D31" si="2">H18-E18-G18-F18-C18</f>
        <v>1494473</v>
      </c>
      <c r="E18" s="73"/>
      <c r="F18" s="73"/>
      <c r="G18" s="73"/>
      <c r="H18" s="125">
        <f>'4.pielikums'!B18</f>
        <v>1494473</v>
      </c>
    </row>
    <row r="19" spans="1:8" ht="15" customHeight="1" x14ac:dyDescent="0.3">
      <c r="A19" s="53"/>
      <c r="B19" s="69" t="s">
        <v>1</v>
      </c>
      <c r="C19" s="89"/>
      <c r="D19" s="73">
        <f t="shared" si="2"/>
        <v>186403</v>
      </c>
      <c r="E19" s="73"/>
      <c r="F19" s="73"/>
      <c r="G19" s="73"/>
      <c r="H19" s="125">
        <f>'4.pielikums'!B20</f>
        <v>186403</v>
      </c>
    </row>
    <row r="20" spans="1:8" ht="30" customHeight="1" x14ac:dyDescent="0.3">
      <c r="A20" s="53"/>
      <c r="B20" s="68" t="s">
        <v>105</v>
      </c>
      <c r="C20" s="99"/>
      <c r="D20" s="73">
        <f t="shared" si="2"/>
        <v>261850</v>
      </c>
      <c r="E20" s="73"/>
      <c r="F20" s="73"/>
      <c r="G20" s="73"/>
      <c r="H20" s="125">
        <f>'4.pielikums'!B22</f>
        <v>261850</v>
      </c>
    </row>
    <row r="21" spans="1:8" ht="15" customHeight="1" x14ac:dyDescent="0.3">
      <c r="A21" s="53"/>
      <c r="B21" s="68" t="s">
        <v>135</v>
      </c>
      <c r="C21" s="99"/>
      <c r="D21" s="73">
        <f t="shared" si="2"/>
        <v>26400</v>
      </c>
      <c r="E21" s="73"/>
      <c r="F21" s="73"/>
      <c r="G21" s="73"/>
      <c r="H21" s="125">
        <f>'4.pielikums'!B24</f>
        <v>26400</v>
      </c>
    </row>
    <row r="22" spans="1:8" ht="31.5" customHeight="1" x14ac:dyDescent="0.3">
      <c r="A22" s="53"/>
      <c r="B22" s="68" t="s">
        <v>612</v>
      </c>
      <c r="C22" s="99"/>
      <c r="D22" s="73">
        <f t="shared" si="2"/>
        <v>80000</v>
      </c>
      <c r="E22" s="73"/>
      <c r="F22" s="73"/>
      <c r="G22" s="73"/>
      <c r="H22" s="125">
        <f>'4.pielikums'!B26</f>
        <v>80000</v>
      </c>
    </row>
    <row r="23" spans="1:8" ht="15" customHeight="1" x14ac:dyDescent="0.3">
      <c r="A23" s="53"/>
      <c r="B23" s="68" t="s">
        <v>558</v>
      </c>
      <c r="C23" s="99"/>
      <c r="D23" s="73">
        <f t="shared" si="2"/>
        <v>142262</v>
      </c>
      <c r="E23" s="73"/>
      <c r="F23" s="73"/>
      <c r="G23" s="73"/>
      <c r="H23" s="125">
        <f>'4.pielikums'!B30</f>
        <v>142262</v>
      </c>
    </row>
    <row r="24" spans="1:8" ht="15" customHeight="1" x14ac:dyDescent="0.3">
      <c r="A24" s="53"/>
      <c r="B24" s="69" t="s">
        <v>559</v>
      </c>
      <c r="C24" s="89"/>
      <c r="D24" s="73">
        <f t="shared" si="2"/>
        <v>129535</v>
      </c>
      <c r="E24" s="73"/>
      <c r="F24" s="73"/>
      <c r="G24" s="73"/>
      <c r="H24" s="125">
        <f>'4.pielikums'!B32</f>
        <v>129535</v>
      </c>
    </row>
    <row r="25" spans="1:8" ht="15" customHeight="1" x14ac:dyDescent="0.3">
      <c r="A25" s="53"/>
      <c r="B25" s="68" t="s">
        <v>562</v>
      </c>
      <c r="C25" s="99"/>
      <c r="D25" s="73">
        <f t="shared" si="2"/>
        <v>94418</v>
      </c>
      <c r="E25" s="73"/>
      <c r="F25" s="73"/>
      <c r="G25" s="73"/>
      <c r="H25" s="125">
        <f>'4.pielikums'!B34</f>
        <v>94418</v>
      </c>
    </row>
    <row r="26" spans="1:8" ht="15" customHeight="1" x14ac:dyDescent="0.3">
      <c r="A26" s="53"/>
      <c r="B26" s="68" t="s">
        <v>561</v>
      </c>
      <c r="C26" s="99"/>
      <c r="D26" s="73">
        <f t="shared" si="2"/>
        <v>145377</v>
      </c>
      <c r="E26" s="73"/>
      <c r="F26" s="73"/>
      <c r="G26" s="73"/>
      <c r="H26" s="125">
        <f>'4.pielikums'!B36</f>
        <v>145377</v>
      </c>
    </row>
    <row r="27" spans="1:8" ht="30" customHeight="1" x14ac:dyDescent="0.3">
      <c r="A27" s="53"/>
      <c r="B27" s="68" t="s">
        <v>65</v>
      </c>
      <c r="C27" s="99"/>
      <c r="D27" s="73">
        <f t="shared" si="2"/>
        <v>44376</v>
      </c>
      <c r="E27" s="73">
        <v>7750</v>
      </c>
      <c r="F27" s="73">
        <v>27500</v>
      </c>
      <c r="G27" s="73"/>
      <c r="H27" s="125">
        <f>'4.pielikums'!B38</f>
        <v>79626</v>
      </c>
    </row>
    <row r="28" spans="1:8" ht="30" customHeight="1" x14ac:dyDescent="0.3">
      <c r="A28" s="53"/>
      <c r="B28" s="68" t="s">
        <v>107</v>
      </c>
      <c r="C28" s="99"/>
      <c r="D28" s="73">
        <f t="shared" si="2"/>
        <v>586196</v>
      </c>
      <c r="E28" s="73"/>
      <c r="F28" s="73"/>
      <c r="G28" s="73"/>
      <c r="H28" s="125">
        <f>'4.pielikums'!B44</f>
        <v>586196</v>
      </c>
    </row>
    <row r="29" spans="1:8" ht="15" customHeight="1" x14ac:dyDescent="0.3">
      <c r="A29" s="53"/>
      <c r="B29" s="68" t="s">
        <v>2</v>
      </c>
      <c r="C29" s="99"/>
      <c r="D29" s="73">
        <f t="shared" si="2"/>
        <v>4179</v>
      </c>
      <c r="E29" s="73"/>
      <c r="F29" s="73"/>
      <c r="G29" s="73"/>
      <c r="H29" s="125">
        <f>'4.pielikums'!B40</f>
        <v>4179</v>
      </c>
    </row>
    <row r="30" spans="1:8" ht="15" customHeight="1" x14ac:dyDescent="0.3">
      <c r="A30" s="53"/>
      <c r="B30" s="69" t="s">
        <v>3</v>
      </c>
      <c r="C30" s="89"/>
      <c r="D30" s="73">
        <f t="shared" si="2"/>
        <v>51098</v>
      </c>
      <c r="E30" s="73"/>
      <c r="F30" s="73"/>
      <c r="G30" s="73"/>
      <c r="H30" s="125">
        <f>'4.pielikums'!B42</f>
        <v>51098</v>
      </c>
    </row>
    <row r="31" spans="1:8" ht="15" customHeight="1" x14ac:dyDescent="0.3">
      <c r="A31" s="53"/>
      <c r="B31" s="69" t="s">
        <v>539</v>
      </c>
      <c r="C31" s="89"/>
      <c r="D31" s="73">
        <f t="shared" si="2"/>
        <v>1313</v>
      </c>
      <c r="E31" s="73"/>
      <c r="F31" s="73">
        <v>128504</v>
      </c>
      <c r="G31" s="73"/>
      <c r="H31" s="125">
        <f>'4.pielikums'!B28</f>
        <v>129817</v>
      </c>
    </row>
    <row r="32" spans="1:8" ht="15" customHeight="1" x14ac:dyDescent="0.3">
      <c r="A32" s="19" t="s">
        <v>171</v>
      </c>
      <c r="B32" s="71" t="s">
        <v>172</v>
      </c>
      <c r="C32" s="72">
        <f>SUM(C33:C35)</f>
        <v>0</v>
      </c>
      <c r="D32" s="72">
        <f t="shared" ref="D32:G32" si="3">SUM(D33:D35)</f>
        <v>316654</v>
      </c>
      <c r="E32" s="72">
        <f t="shared" si="3"/>
        <v>42550</v>
      </c>
      <c r="F32" s="72">
        <f t="shared" si="3"/>
        <v>0</v>
      </c>
      <c r="G32" s="72">
        <f t="shared" si="3"/>
        <v>0</v>
      </c>
      <c r="H32" s="125">
        <f>SUM(H33:H35)</f>
        <v>359204</v>
      </c>
    </row>
    <row r="33" spans="1:8" ht="15" customHeight="1" x14ac:dyDescent="0.3">
      <c r="A33" s="55"/>
      <c r="B33" s="69" t="s">
        <v>4</v>
      </c>
      <c r="C33" s="89"/>
      <c r="D33" s="73">
        <f>H33-E33-G33-F33-C33</f>
        <v>83862</v>
      </c>
      <c r="E33" s="73">
        <v>4550</v>
      </c>
      <c r="F33" s="73"/>
      <c r="G33" s="73"/>
      <c r="H33" s="125">
        <f>'4.pielikums'!B46</f>
        <v>88412</v>
      </c>
    </row>
    <row r="34" spans="1:8" ht="15" customHeight="1" x14ac:dyDescent="0.3">
      <c r="A34" s="53"/>
      <c r="B34" s="69" t="s">
        <v>5</v>
      </c>
      <c r="C34" s="89"/>
      <c r="D34" s="73">
        <f>H34-E34-G34-F34-C34</f>
        <v>190036</v>
      </c>
      <c r="E34" s="73">
        <v>4000</v>
      </c>
      <c r="F34" s="73"/>
      <c r="G34" s="73">
        <v>0</v>
      </c>
      <c r="H34" s="125">
        <f>'4.pielikums'!B48</f>
        <v>194036</v>
      </c>
    </row>
    <row r="35" spans="1:8" ht="15" customHeight="1" x14ac:dyDescent="0.3">
      <c r="A35" s="53"/>
      <c r="B35" s="123" t="s">
        <v>41</v>
      </c>
      <c r="C35" s="89"/>
      <c r="D35" s="73">
        <f>H35-E35-G35-F35-C35</f>
        <v>42756</v>
      </c>
      <c r="E35" s="73">
        <v>34000</v>
      </c>
      <c r="F35" s="73"/>
      <c r="G35" s="73"/>
      <c r="H35" s="125">
        <f>'4.pielikums'!B50</f>
        <v>76756</v>
      </c>
    </row>
    <row r="36" spans="1:8" ht="15" customHeight="1" x14ac:dyDescent="0.3">
      <c r="A36" s="19" t="s">
        <v>173</v>
      </c>
      <c r="B36" s="70" t="s">
        <v>174</v>
      </c>
      <c r="C36" s="138">
        <f>SUM(C37:C71)</f>
        <v>839036</v>
      </c>
      <c r="D36" s="138">
        <f t="shared" ref="D36:G36" si="4">SUM(D37:D71)</f>
        <v>389937</v>
      </c>
      <c r="E36" s="138">
        <f t="shared" si="4"/>
        <v>8257</v>
      </c>
      <c r="F36" s="138">
        <f t="shared" si="4"/>
        <v>2480239</v>
      </c>
      <c r="G36" s="138">
        <f t="shared" si="4"/>
        <v>715237</v>
      </c>
      <c r="H36" s="125">
        <f>SUM(H37:H71)</f>
        <v>4432706</v>
      </c>
    </row>
    <row r="37" spans="1:8" ht="15" customHeight="1" x14ac:dyDescent="0.3">
      <c r="A37" s="55"/>
      <c r="B37" s="69" t="s">
        <v>175</v>
      </c>
      <c r="C37" s="89"/>
      <c r="D37" s="73">
        <f t="shared" ref="D37:D71" si="5">H37-E37-G37-F37-C37</f>
        <v>58102</v>
      </c>
      <c r="E37" s="73">
        <v>3000</v>
      </c>
      <c r="F37" s="73"/>
      <c r="G37" s="73"/>
      <c r="H37" s="125">
        <f>'4.pielikums'!B52</f>
        <v>61102</v>
      </c>
    </row>
    <row r="38" spans="1:8" ht="23.25" customHeight="1" x14ac:dyDescent="0.3">
      <c r="A38" s="53"/>
      <c r="B38" s="68" t="s">
        <v>74</v>
      </c>
      <c r="C38" s="130">
        <v>0</v>
      </c>
      <c r="D38" s="73">
        <f t="shared" si="5"/>
        <v>283</v>
      </c>
      <c r="E38" s="73"/>
      <c r="F38" s="73">
        <v>41900</v>
      </c>
      <c r="G38" s="73"/>
      <c r="H38" s="125">
        <f>'4.pielikums'!B106</f>
        <v>42183</v>
      </c>
    </row>
    <row r="39" spans="1:8" ht="15" customHeight="1" x14ac:dyDescent="0.3">
      <c r="A39" s="56"/>
      <c r="B39" s="92" t="s">
        <v>45</v>
      </c>
      <c r="C39" s="99">
        <v>14436</v>
      </c>
      <c r="D39" s="73">
        <f t="shared" si="5"/>
        <v>0</v>
      </c>
      <c r="E39" s="73"/>
      <c r="F39" s="73">
        <v>119740</v>
      </c>
      <c r="G39" s="73"/>
      <c r="H39" s="125">
        <f>'4.pielikums'!B62</f>
        <v>134176</v>
      </c>
    </row>
    <row r="40" spans="1:8" ht="30" customHeight="1" x14ac:dyDescent="0.3">
      <c r="A40" s="56"/>
      <c r="B40" s="92" t="s">
        <v>144</v>
      </c>
      <c r="C40" s="99">
        <v>31546</v>
      </c>
      <c r="D40" s="73">
        <f t="shared" si="5"/>
        <v>0</v>
      </c>
      <c r="E40" s="73"/>
      <c r="F40" s="73">
        <v>41427</v>
      </c>
      <c r="G40" s="73"/>
      <c r="H40" s="125">
        <f>'4.pielikums'!B64</f>
        <v>72973</v>
      </c>
    </row>
    <row r="41" spans="1:8" ht="30" customHeight="1" x14ac:dyDescent="0.3">
      <c r="A41" s="56"/>
      <c r="B41" s="92" t="s">
        <v>46</v>
      </c>
      <c r="C41" s="99">
        <v>11718</v>
      </c>
      <c r="D41" s="73">
        <f t="shared" si="5"/>
        <v>0</v>
      </c>
      <c r="E41" s="73"/>
      <c r="F41" s="73">
        <v>25980</v>
      </c>
      <c r="G41" s="73"/>
      <c r="H41" s="125">
        <f>'4.pielikums'!B66</f>
        <v>37698</v>
      </c>
    </row>
    <row r="42" spans="1:8" ht="30" customHeight="1" x14ac:dyDescent="0.3">
      <c r="A42" s="56"/>
      <c r="B42" s="92" t="s">
        <v>47</v>
      </c>
      <c r="C42" s="99">
        <v>0</v>
      </c>
      <c r="D42" s="73">
        <f t="shared" si="5"/>
        <v>0</v>
      </c>
      <c r="E42" s="73"/>
      <c r="F42" s="73">
        <v>34801</v>
      </c>
      <c r="G42" s="73"/>
      <c r="H42" s="125">
        <f>'4.pielikums'!B68</f>
        <v>34801</v>
      </c>
    </row>
    <row r="43" spans="1:8" ht="30" customHeight="1" x14ac:dyDescent="0.3">
      <c r="A43" s="56"/>
      <c r="B43" s="92" t="s">
        <v>48</v>
      </c>
      <c r="C43" s="99">
        <v>4923</v>
      </c>
      <c r="D43" s="73">
        <f t="shared" si="5"/>
        <v>0</v>
      </c>
      <c r="E43" s="73"/>
      <c r="F43" s="73">
        <v>37470</v>
      </c>
      <c r="G43" s="73"/>
      <c r="H43" s="125">
        <f>'4.pielikums'!B70</f>
        <v>42393</v>
      </c>
    </row>
    <row r="44" spans="1:8" ht="30" customHeight="1" x14ac:dyDescent="0.3">
      <c r="A44" s="56"/>
      <c r="B44" s="92" t="s">
        <v>49</v>
      </c>
      <c r="C44" s="99">
        <v>28665</v>
      </c>
      <c r="D44" s="73">
        <f t="shared" si="5"/>
        <v>0</v>
      </c>
      <c r="E44" s="73"/>
      <c r="F44" s="73">
        <v>40144</v>
      </c>
      <c r="G44" s="73"/>
      <c r="H44" s="125">
        <f>'4.pielikums'!B72</f>
        <v>68809</v>
      </c>
    </row>
    <row r="45" spans="1:8" ht="30" customHeight="1" x14ac:dyDescent="0.3">
      <c r="A45" s="56"/>
      <c r="B45" s="92" t="s">
        <v>50</v>
      </c>
      <c r="C45" s="99">
        <v>7580</v>
      </c>
      <c r="D45" s="73">
        <f t="shared" si="5"/>
        <v>0</v>
      </c>
      <c r="E45" s="73"/>
      <c r="F45" s="73">
        <v>21003</v>
      </c>
      <c r="G45" s="73"/>
      <c r="H45" s="125">
        <f>'4.pielikums'!B74</f>
        <v>28583</v>
      </c>
    </row>
    <row r="46" spans="1:8" ht="30" customHeight="1" x14ac:dyDescent="0.3">
      <c r="A46" s="56"/>
      <c r="B46" s="92" t="s">
        <v>51</v>
      </c>
      <c r="C46" s="99">
        <v>0</v>
      </c>
      <c r="D46" s="73">
        <f t="shared" si="5"/>
        <v>0</v>
      </c>
      <c r="E46" s="73"/>
      <c r="F46" s="73">
        <v>75759</v>
      </c>
      <c r="G46" s="73"/>
      <c r="H46" s="125">
        <f>'4.pielikums'!B76</f>
        <v>75759</v>
      </c>
    </row>
    <row r="47" spans="1:8" ht="30" customHeight="1" x14ac:dyDescent="0.3">
      <c r="A47" s="56"/>
      <c r="B47" s="92" t="s">
        <v>142</v>
      </c>
      <c r="C47" s="99">
        <v>10390</v>
      </c>
      <c r="D47" s="73">
        <f t="shared" si="5"/>
        <v>0</v>
      </c>
      <c r="E47" s="73"/>
      <c r="F47" s="73">
        <v>14633</v>
      </c>
      <c r="G47" s="73"/>
      <c r="H47" s="125">
        <f>'4.pielikums'!B78</f>
        <v>25023</v>
      </c>
    </row>
    <row r="48" spans="1:8" ht="30" customHeight="1" x14ac:dyDescent="0.3">
      <c r="A48" s="56"/>
      <c r="B48" s="92" t="s">
        <v>52</v>
      </c>
      <c r="C48" s="99">
        <v>5987</v>
      </c>
      <c r="D48" s="73">
        <f t="shared" si="5"/>
        <v>0</v>
      </c>
      <c r="E48" s="73"/>
      <c r="F48" s="73">
        <v>25368</v>
      </c>
      <c r="G48" s="73"/>
      <c r="H48" s="125">
        <f>'4.pielikums'!B80</f>
        <v>31355</v>
      </c>
    </row>
    <row r="49" spans="1:9" ht="30" customHeight="1" x14ac:dyDescent="0.3">
      <c r="A49" s="56"/>
      <c r="B49" s="92" t="s">
        <v>140</v>
      </c>
      <c r="C49" s="99">
        <v>30994</v>
      </c>
      <c r="D49" s="73">
        <f t="shared" si="5"/>
        <v>0</v>
      </c>
      <c r="E49" s="73"/>
      <c r="F49" s="73">
        <v>76553</v>
      </c>
      <c r="G49" s="73"/>
      <c r="H49" s="125">
        <f>'4.pielikums'!B82</f>
        <v>107547</v>
      </c>
    </row>
    <row r="50" spans="1:9" ht="30" customHeight="1" x14ac:dyDescent="0.3">
      <c r="A50" s="56"/>
      <c r="B50" s="92" t="s">
        <v>141</v>
      </c>
      <c r="C50" s="99"/>
      <c r="D50" s="73">
        <f t="shared" si="5"/>
        <v>0</v>
      </c>
      <c r="E50" s="73"/>
      <c r="F50" s="73">
        <v>51815</v>
      </c>
      <c r="G50" s="73"/>
      <c r="H50" s="125">
        <f>'4.pielikums'!B84</f>
        <v>51815</v>
      </c>
    </row>
    <row r="51" spans="1:9" ht="30" customHeight="1" x14ac:dyDescent="0.3">
      <c r="A51" s="56"/>
      <c r="B51" s="92" t="s">
        <v>143</v>
      </c>
      <c r="C51" s="99">
        <v>136281</v>
      </c>
      <c r="D51" s="73">
        <f t="shared" si="5"/>
        <v>0</v>
      </c>
      <c r="E51" s="73">
        <v>1257</v>
      </c>
      <c r="F51" s="73">
        <v>89799</v>
      </c>
      <c r="G51" s="73"/>
      <c r="H51" s="125">
        <f>'4.pielikums'!B86</f>
        <v>227337</v>
      </c>
    </row>
    <row r="52" spans="1:9" ht="30" customHeight="1" x14ac:dyDescent="0.3">
      <c r="A52" s="56"/>
      <c r="B52" s="92" t="s">
        <v>145</v>
      </c>
      <c r="C52" s="99">
        <v>44593</v>
      </c>
      <c r="D52" s="73">
        <f t="shared" si="5"/>
        <v>0</v>
      </c>
      <c r="E52" s="73"/>
      <c r="F52" s="73">
        <v>23921</v>
      </c>
      <c r="G52" s="73"/>
      <c r="H52" s="125">
        <f>'4.pielikums'!B88</f>
        <v>68514</v>
      </c>
    </row>
    <row r="53" spans="1:9" ht="30" customHeight="1" x14ac:dyDescent="0.3">
      <c r="A53" s="56"/>
      <c r="B53" s="92" t="s">
        <v>146</v>
      </c>
      <c r="C53" s="99">
        <v>41748</v>
      </c>
      <c r="D53" s="73">
        <f t="shared" si="5"/>
        <v>0</v>
      </c>
      <c r="E53" s="73"/>
      <c r="F53" s="73">
        <v>45635</v>
      </c>
      <c r="G53" s="73"/>
      <c r="H53" s="125">
        <f>'4.pielikums'!B90</f>
        <v>87383</v>
      </c>
    </row>
    <row r="54" spans="1:9" ht="30" customHeight="1" x14ac:dyDescent="0.3">
      <c r="A54" s="56"/>
      <c r="B54" s="92" t="s">
        <v>53</v>
      </c>
      <c r="C54" s="99">
        <v>16555</v>
      </c>
      <c r="D54" s="73">
        <f t="shared" si="5"/>
        <v>0</v>
      </c>
      <c r="E54" s="73"/>
      <c r="F54" s="73">
        <v>30728</v>
      </c>
      <c r="G54" s="73"/>
      <c r="H54" s="125">
        <f>'4.pielikums'!B92</f>
        <v>47283</v>
      </c>
    </row>
    <row r="55" spans="1:9" ht="30" customHeight="1" x14ac:dyDescent="0.3">
      <c r="A55" s="56"/>
      <c r="B55" s="92" t="s">
        <v>54</v>
      </c>
      <c r="C55" s="99">
        <v>12898</v>
      </c>
      <c r="D55" s="73">
        <f t="shared" si="5"/>
        <v>0</v>
      </c>
      <c r="E55" s="73"/>
      <c r="F55" s="73">
        <v>20222</v>
      </c>
      <c r="G55" s="73"/>
      <c r="H55" s="125">
        <f>'4.pielikums'!B94</f>
        <v>33120</v>
      </c>
    </row>
    <row r="56" spans="1:9" ht="30" customHeight="1" x14ac:dyDescent="0.3">
      <c r="A56" s="56"/>
      <c r="B56" s="92" t="s">
        <v>149</v>
      </c>
      <c r="C56" s="99">
        <v>15297</v>
      </c>
      <c r="D56" s="73">
        <f t="shared" si="5"/>
        <v>0</v>
      </c>
      <c r="E56" s="73"/>
      <c r="F56" s="73">
        <v>13639</v>
      </c>
      <c r="G56" s="73"/>
      <c r="H56" s="125">
        <f>'4.pielikums'!B96</f>
        <v>28936</v>
      </c>
    </row>
    <row r="57" spans="1:9" ht="30" customHeight="1" x14ac:dyDescent="0.3">
      <c r="A57" s="56"/>
      <c r="B57" s="92" t="s">
        <v>55</v>
      </c>
      <c r="C57" s="99">
        <v>10554</v>
      </c>
      <c r="D57" s="73">
        <f t="shared" si="5"/>
        <v>0</v>
      </c>
      <c r="E57" s="73"/>
      <c r="F57" s="73">
        <v>19161</v>
      </c>
      <c r="G57" s="73"/>
      <c r="H57" s="125">
        <f>'4.pielikums'!B98</f>
        <v>29715</v>
      </c>
    </row>
    <row r="58" spans="1:9" ht="30" customHeight="1" x14ac:dyDescent="0.3">
      <c r="A58" s="56"/>
      <c r="B58" s="92" t="s">
        <v>147</v>
      </c>
      <c r="C58" s="99">
        <v>3854</v>
      </c>
      <c r="D58" s="73">
        <f t="shared" si="5"/>
        <v>0</v>
      </c>
      <c r="E58" s="73"/>
      <c r="F58" s="73">
        <v>6574</v>
      </c>
      <c r="G58" s="73"/>
      <c r="H58" s="125">
        <f>'4.pielikums'!B100</f>
        <v>10428</v>
      </c>
    </row>
    <row r="59" spans="1:9" ht="30" customHeight="1" x14ac:dyDescent="0.3">
      <c r="A59" s="56"/>
      <c r="B59" s="92" t="s">
        <v>148</v>
      </c>
      <c r="C59" s="99">
        <v>23905</v>
      </c>
      <c r="D59" s="73">
        <f t="shared" si="5"/>
        <v>0</v>
      </c>
      <c r="E59" s="73"/>
      <c r="F59" s="73">
        <v>18299</v>
      </c>
      <c r="G59" s="73"/>
      <c r="H59" s="125">
        <f>'4.pielikums'!B102</f>
        <v>42204</v>
      </c>
    </row>
    <row r="60" spans="1:9" ht="30" customHeight="1" x14ac:dyDescent="0.3">
      <c r="A60" s="56"/>
      <c r="B60" s="111" t="s">
        <v>507</v>
      </c>
      <c r="C60" s="99">
        <v>265207</v>
      </c>
      <c r="D60" s="73">
        <f t="shared" si="5"/>
        <v>0</v>
      </c>
      <c r="E60" s="73"/>
      <c r="F60" s="73">
        <v>200376</v>
      </c>
      <c r="G60" s="73"/>
      <c r="H60" s="125">
        <f>'4.pielikums'!B104</f>
        <v>465583</v>
      </c>
      <c r="I60" s="60"/>
    </row>
    <row r="61" spans="1:9" ht="30" customHeight="1" x14ac:dyDescent="0.3">
      <c r="A61" s="53"/>
      <c r="B61" s="68" t="s">
        <v>42</v>
      </c>
      <c r="C61" s="99"/>
      <c r="D61" s="73">
        <f t="shared" si="5"/>
        <v>3448</v>
      </c>
      <c r="E61" s="73"/>
      <c r="F61" s="73"/>
      <c r="G61" s="73"/>
      <c r="H61" s="125">
        <f>'4.pielikums'!B56</f>
        <v>3448</v>
      </c>
    </row>
    <row r="62" spans="1:9" ht="15" customHeight="1" x14ac:dyDescent="0.3">
      <c r="A62" s="53"/>
      <c r="B62" s="68" t="s">
        <v>7</v>
      </c>
      <c r="C62" s="99"/>
      <c r="D62" s="73">
        <f t="shared" si="5"/>
        <v>160000</v>
      </c>
      <c r="E62" s="73"/>
      <c r="F62" s="73"/>
      <c r="G62" s="73"/>
      <c r="H62" s="125">
        <f>'4.pielikums'!B54</f>
        <v>160000</v>
      </c>
    </row>
    <row r="63" spans="1:9" ht="18" customHeight="1" x14ac:dyDescent="0.3">
      <c r="A63" s="53"/>
      <c r="B63" s="68" t="s">
        <v>176</v>
      </c>
      <c r="C63" s="99"/>
      <c r="D63" s="73">
        <f t="shared" si="5"/>
        <v>50000</v>
      </c>
      <c r="E63" s="73"/>
      <c r="F63" s="73"/>
      <c r="G63" s="73"/>
      <c r="H63" s="125">
        <f>'4.pielikums'!B58</f>
        <v>50000</v>
      </c>
    </row>
    <row r="64" spans="1:9" ht="18" customHeight="1" x14ac:dyDescent="0.3">
      <c r="A64" s="53"/>
      <c r="B64" s="68" t="s">
        <v>662</v>
      </c>
      <c r="C64" s="99"/>
      <c r="D64" s="73">
        <f t="shared" si="5"/>
        <v>9660</v>
      </c>
      <c r="E64" s="73">
        <v>4000</v>
      </c>
      <c r="F64" s="73"/>
      <c r="G64" s="73"/>
      <c r="H64" s="125">
        <f>'4.pielikums'!B60</f>
        <v>13660</v>
      </c>
    </row>
    <row r="65" spans="1:10" ht="33" customHeight="1" x14ac:dyDescent="0.3">
      <c r="A65" s="53"/>
      <c r="B65" s="128" t="s">
        <v>793</v>
      </c>
      <c r="C65" s="130"/>
      <c r="D65" s="139">
        <f t="shared" si="5"/>
        <v>4000</v>
      </c>
      <c r="E65" s="139"/>
      <c r="F65" s="139">
        <v>8000</v>
      </c>
      <c r="G65" s="73"/>
      <c r="H65" s="125">
        <f>'4.pielikums'!B528</f>
        <v>12000</v>
      </c>
    </row>
    <row r="66" spans="1:10" ht="42.75" customHeight="1" x14ac:dyDescent="0.3">
      <c r="A66" s="54"/>
      <c r="B66" s="129" t="s">
        <v>611</v>
      </c>
      <c r="C66" s="130">
        <v>75047</v>
      </c>
      <c r="D66" s="139">
        <f t="shared" si="5"/>
        <v>9289</v>
      </c>
      <c r="E66" s="139"/>
      <c r="F66" s="139">
        <v>14646</v>
      </c>
      <c r="G66" s="73">
        <v>27207</v>
      </c>
      <c r="H66" s="125">
        <f>'4.pielikums'!B108</f>
        <v>126189</v>
      </c>
    </row>
    <row r="67" spans="1:10" ht="23.4" customHeight="1" x14ac:dyDescent="0.3">
      <c r="A67" s="54"/>
      <c r="B67" s="129" t="s">
        <v>546</v>
      </c>
      <c r="C67" s="130"/>
      <c r="D67" s="139">
        <f t="shared" si="5"/>
        <v>30000</v>
      </c>
      <c r="E67" s="139"/>
      <c r="F67" s="139"/>
      <c r="G67" s="73"/>
      <c r="H67" s="125">
        <f>'4.pielikums'!B548</f>
        <v>30000</v>
      </c>
    </row>
    <row r="68" spans="1:10" ht="94.5" customHeight="1" x14ac:dyDescent="0.3">
      <c r="A68" s="54"/>
      <c r="B68" s="129" t="s">
        <v>721</v>
      </c>
      <c r="C68" s="130">
        <v>46858</v>
      </c>
      <c r="D68" s="139">
        <f t="shared" si="5"/>
        <v>0</v>
      </c>
      <c r="E68" s="139"/>
      <c r="F68" s="139"/>
      <c r="G68" s="73">
        <v>131555</v>
      </c>
      <c r="H68" s="125">
        <f>'4.pielikums'!B562</f>
        <v>178413</v>
      </c>
    </row>
    <row r="69" spans="1:10" ht="41.25" customHeight="1" x14ac:dyDescent="0.3">
      <c r="A69" s="54"/>
      <c r="B69" s="112" t="s">
        <v>684</v>
      </c>
      <c r="C69" s="99"/>
      <c r="D69" s="73">
        <f t="shared" si="5"/>
        <v>0</v>
      </c>
      <c r="E69" s="73"/>
      <c r="F69" s="73">
        <v>1382646</v>
      </c>
      <c r="G69" s="73">
        <v>424735</v>
      </c>
      <c r="H69" s="125">
        <f>'4.pielikums'!B564</f>
        <v>1807381</v>
      </c>
    </row>
    <row r="70" spans="1:10" ht="54" customHeight="1" x14ac:dyDescent="0.3">
      <c r="A70" s="54"/>
      <c r="B70" s="112" t="s">
        <v>564</v>
      </c>
      <c r="C70" s="99"/>
      <c r="D70" s="73">
        <f t="shared" si="5"/>
        <v>0</v>
      </c>
      <c r="E70" s="73"/>
      <c r="F70" s="73">
        <v>0</v>
      </c>
      <c r="G70" s="73">
        <v>131740</v>
      </c>
      <c r="H70" s="125">
        <f>'4.pielikums'!B566</f>
        <v>131740</v>
      </c>
    </row>
    <row r="71" spans="1:10" ht="34.5" customHeight="1" x14ac:dyDescent="0.3">
      <c r="A71" s="54"/>
      <c r="B71" s="112" t="s">
        <v>694</v>
      </c>
      <c r="C71" s="99"/>
      <c r="D71" s="73">
        <f t="shared" si="5"/>
        <v>65155</v>
      </c>
      <c r="E71" s="73"/>
      <c r="F71" s="73"/>
      <c r="G71" s="73"/>
      <c r="H71" s="125">
        <f>'4.pielikums'!B576</f>
        <v>65155</v>
      </c>
    </row>
    <row r="72" spans="1:10" ht="15" customHeight="1" x14ac:dyDescent="0.3">
      <c r="A72" s="19" t="s">
        <v>177</v>
      </c>
      <c r="B72" s="71" t="s">
        <v>178</v>
      </c>
      <c r="C72" s="72">
        <f t="shared" ref="C72:H72" si="6">SUM(C73:C97)</f>
        <v>115841</v>
      </c>
      <c r="D72" s="72">
        <f t="shared" si="6"/>
        <v>60960</v>
      </c>
      <c r="E72" s="72">
        <f t="shared" si="6"/>
        <v>123832</v>
      </c>
      <c r="F72" s="72">
        <f t="shared" si="6"/>
        <v>742</v>
      </c>
      <c r="G72" s="72">
        <f t="shared" si="6"/>
        <v>207320</v>
      </c>
      <c r="H72" s="166">
        <f t="shared" si="6"/>
        <v>508695</v>
      </c>
      <c r="I72" s="60"/>
      <c r="J72" s="60"/>
    </row>
    <row r="73" spans="1:10" ht="30" customHeight="1" x14ac:dyDescent="0.3">
      <c r="A73" s="53"/>
      <c r="B73" s="68" t="s">
        <v>56</v>
      </c>
      <c r="C73" s="99">
        <v>115841</v>
      </c>
      <c r="D73" s="73">
        <f t="shared" ref="D73:D96" si="7">H73-E73-G73-F73-C73</f>
        <v>49805</v>
      </c>
      <c r="E73" s="73"/>
      <c r="F73" s="73"/>
      <c r="G73" s="73"/>
      <c r="H73" s="125">
        <f>'4.pielikums'!B110</f>
        <v>165646</v>
      </c>
      <c r="I73" s="60"/>
      <c r="J73" s="60"/>
    </row>
    <row r="74" spans="1:10" ht="30" customHeight="1" x14ac:dyDescent="0.3">
      <c r="A74" s="53"/>
      <c r="B74" s="113" t="s">
        <v>224</v>
      </c>
      <c r="C74" s="99"/>
      <c r="D74" s="73">
        <f t="shared" si="7"/>
        <v>-24</v>
      </c>
      <c r="E74" s="73">
        <v>7660</v>
      </c>
      <c r="F74" s="73"/>
      <c r="G74" s="73"/>
      <c r="H74" s="125">
        <f>'4.pielikums'!B112</f>
        <v>7636</v>
      </c>
      <c r="I74" s="60"/>
      <c r="J74" s="60"/>
    </row>
    <row r="75" spans="1:10" s="59" customFormat="1" ht="30" customHeight="1" x14ac:dyDescent="0.3">
      <c r="A75" s="63"/>
      <c r="B75" s="113" t="s">
        <v>502</v>
      </c>
      <c r="C75" s="99"/>
      <c r="D75" s="73">
        <f t="shared" si="7"/>
        <v>3691</v>
      </c>
      <c r="E75" s="73">
        <v>5595</v>
      </c>
      <c r="F75" s="73"/>
      <c r="G75" s="73"/>
      <c r="H75" s="125">
        <f>'4.pielikums'!B114</f>
        <v>9286</v>
      </c>
      <c r="I75" s="60"/>
      <c r="J75" s="60"/>
    </row>
    <row r="76" spans="1:10" ht="30" customHeight="1" x14ac:dyDescent="0.3">
      <c r="A76" s="53"/>
      <c r="B76" s="75" t="s">
        <v>159</v>
      </c>
      <c r="C76" s="99"/>
      <c r="D76" s="73">
        <f t="shared" si="7"/>
        <v>-150</v>
      </c>
      <c r="E76" s="73">
        <v>6325</v>
      </c>
      <c r="F76" s="73"/>
      <c r="G76" s="73"/>
      <c r="H76" s="125">
        <f>'4.pielikums'!B116</f>
        <v>6175</v>
      </c>
      <c r="I76" s="60"/>
      <c r="J76" s="60"/>
    </row>
    <row r="77" spans="1:10" s="59" customFormat="1" ht="30" customHeight="1" x14ac:dyDescent="0.3">
      <c r="A77" s="63"/>
      <c r="B77" s="113" t="s">
        <v>503</v>
      </c>
      <c r="C77" s="99"/>
      <c r="D77" s="73">
        <f t="shared" si="7"/>
        <v>1690</v>
      </c>
      <c r="E77" s="73">
        <v>3235</v>
      </c>
      <c r="F77" s="73"/>
      <c r="G77" s="73"/>
      <c r="H77" s="125">
        <f>'4.pielikums'!B118</f>
        <v>4925</v>
      </c>
      <c r="I77" s="60"/>
      <c r="J77" s="60"/>
    </row>
    <row r="78" spans="1:10" ht="30" customHeight="1" x14ac:dyDescent="0.3">
      <c r="A78" s="53"/>
      <c r="B78" s="75" t="s">
        <v>157</v>
      </c>
      <c r="C78" s="99"/>
      <c r="D78" s="73">
        <f t="shared" si="7"/>
        <v>780</v>
      </c>
      <c r="E78" s="73">
        <v>3000</v>
      </c>
      <c r="F78" s="73"/>
      <c r="G78" s="73"/>
      <c r="H78" s="125">
        <f>'4.pielikums'!B120</f>
        <v>3780</v>
      </c>
      <c r="I78" s="60"/>
      <c r="J78" s="60"/>
    </row>
    <row r="79" spans="1:10" ht="30" customHeight="1" x14ac:dyDescent="0.3">
      <c r="A79" s="53"/>
      <c r="B79" s="75" t="s">
        <v>158</v>
      </c>
      <c r="C79" s="99"/>
      <c r="D79" s="73">
        <f t="shared" si="7"/>
        <v>-1670</v>
      </c>
      <c r="E79" s="73">
        <v>7700</v>
      </c>
      <c r="F79" s="73"/>
      <c r="G79" s="73"/>
      <c r="H79" s="125">
        <f>'4.pielikums'!B122</f>
        <v>6030</v>
      </c>
      <c r="I79" s="60"/>
      <c r="J79" s="60"/>
    </row>
    <row r="80" spans="1:10" ht="30" customHeight="1" x14ac:dyDescent="0.3">
      <c r="A80" s="53"/>
      <c r="B80" s="75" t="s">
        <v>79</v>
      </c>
      <c r="C80" s="99"/>
      <c r="D80" s="73">
        <f t="shared" si="7"/>
        <v>-450</v>
      </c>
      <c r="E80" s="73">
        <v>5700</v>
      </c>
      <c r="F80" s="73"/>
      <c r="G80" s="73"/>
      <c r="H80" s="125">
        <f>'4.pielikums'!B124</f>
        <v>5250</v>
      </c>
      <c r="I80" s="60"/>
      <c r="J80" s="60"/>
    </row>
    <row r="81" spans="1:10" ht="30" customHeight="1" x14ac:dyDescent="0.3">
      <c r="A81" s="53"/>
      <c r="B81" s="92" t="s">
        <v>225</v>
      </c>
      <c r="C81" s="99"/>
      <c r="D81" s="73">
        <f t="shared" si="7"/>
        <v>0</v>
      </c>
      <c r="E81" s="73">
        <v>11300</v>
      </c>
      <c r="F81" s="73"/>
      <c r="G81" s="73"/>
      <c r="H81" s="125">
        <f>'4.pielikums'!B126</f>
        <v>11300</v>
      </c>
      <c r="I81" s="60"/>
      <c r="J81" s="60"/>
    </row>
    <row r="82" spans="1:10" s="59" customFormat="1" ht="30" customHeight="1" x14ac:dyDescent="0.3">
      <c r="A82" s="63"/>
      <c r="B82" s="92" t="s">
        <v>504</v>
      </c>
      <c r="C82" s="99"/>
      <c r="D82" s="73">
        <f t="shared" si="7"/>
        <v>1460</v>
      </c>
      <c r="E82" s="73">
        <v>1950</v>
      </c>
      <c r="F82" s="73"/>
      <c r="G82" s="73"/>
      <c r="H82" s="125">
        <f>'4.pielikums'!B128</f>
        <v>3410</v>
      </c>
      <c r="I82" s="60"/>
      <c r="J82" s="60"/>
    </row>
    <row r="83" spans="1:10" ht="30" customHeight="1" x14ac:dyDescent="0.3">
      <c r="A83" s="53"/>
      <c r="B83" s="75" t="s">
        <v>76</v>
      </c>
      <c r="C83" s="99"/>
      <c r="D83" s="73">
        <f t="shared" si="7"/>
        <v>-1800</v>
      </c>
      <c r="E83" s="73">
        <v>8890</v>
      </c>
      <c r="F83" s="73"/>
      <c r="G83" s="73"/>
      <c r="H83" s="125">
        <f>'4.pielikums'!B130</f>
        <v>7090</v>
      </c>
      <c r="I83" s="60"/>
      <c r="J83" s="60"/>
    </row>
    <row r="84" spans="1:10" ht="30" customHeight="1" x14ac:dyDescent="0.3">
      <c r="A84" s="53"/>
      <c r="B84" s="75" t="s">
        <v>78</v>
      </c>
      <c r="C84" s="99"/>
      <c r="D84" s="73">
        <f t="shared" si="7"/>
        <v>-180</v>
      </c>
      <c r="E84" s="73">
        <v>2640</v>
      </c>
      <c r="F84" s="73"/>
      <c r="G84" s="73"/>
      <c r="H84" s="125">
        <f>'4.pielikums'!B132</f>
        <v>2460</v>
      </c>
      <c r="I84" s="60"/>
      <c r="J84" s="60"/>
    </row>
    <row r="85" spans="1:10" ht="30" customHeight="1" x14ac:dyDescent="0.3">
      <c r="A85" s="53"/>
      <c r="B85" s="92" t="s">
        <v>223</v>
      </c>
      <c r="C85" s="99"/>
      <c r="D85" s="73">
        <f t="shared" si="7"/>
        <v>1860</v>
      </c>
      <c r="E85" s="73">
        <v>6110</v>
      </c>
      <c r="F85" s="73"/>
      <c r="G85" s="73"/>
      <c r="H85" s="125">
        <f>'4.pielikums'!B134</f>
        <v>7970</v>
      </c>
      <c r="I85" s="60"/>
      <c r="J85" s="60"/>
    </row>
    <row r="86" spans="1:10" ht="30" customHeight="1" x14ac:dyDescent="0.3">
      <c r="A86" s="53"/>
      <c r="B86" s="75" t="s">
        <v>160</v>
      </c>
      <c r="C86" s="99"/>
      <c r="D86" s="73">
        <f t="shared" si="7"/>
        <v>1995</v>
      </c>
      <c r="E86" s="73">
        <v>5970</v>
      </c>
      <c r="F86" s="73"/>
      <c r="G86" s="73"/>
      <c r="H86" s="125">
        <f>'4.pielikums'!B136</f>
        <v>7965</v>
      </c>
      <c r="I86" s="60"/>
      <c r="J86" s="60"/>
    </row>
    <row r="87" spans="1:10" ht="30" customHeight="1" x14ac:dyDescent="0.3">
      <c r="A87" s="53"/>
      <c r="B87" s="75" t="s">
        <v>77</v>
      </c>
      <c r="C87" s="99"/>
      <c r="D87" s="73">
        <f t="shared" si="7"/>
        <v>-340</v>
      </c>
      <c r="E87" s="73">
        <v>780</v>
      </c>
      <c r="F87" s="73"/>
      <c r="G87" s="73"/>
      <c r="H87" s="125">
        <f>'4.pielikums'!B138</f>
        <v>440</v>
      </c>
      <c r="I87" s="60"/>
      <c r="J87" s="60"/>
    </row>
    <row r="88" spans="1:10" ht="30" customHeight="1" x14ac:dyDescent="0.3">
      <c r="A88" s="53"/>
      <c r="B88" s="75" t="s">
        <v>80</v>
      </c>
      <c r="C88" s="99"/>
      <c r="D88" s="73">
        <f t="shared" si="7"/>
        <v>0</v>
      </c>
      <c r="E88" s="73">
        <v>2450</v>
      </c>
      <c r="F88" s="73"/>
      <c r="G88" s="73"/>
      <c r="H88" s="125">
        <f>'4.pielikums'!B140</f>
        <v>2450</v>
      </c>
      <c r="I88" s="60"/>
      <c r="J88" s="60"/>
    </row>
    <row r="89" spans="1:10" ht="30" customHeight="1" x14ac:dyDescent="0.3">
      <c r="A89" s="53"/>
      <c r="B89" s="75" t="s">
        <v>138</v>
      </c>
      <c r="C89" s="99"/>
      <c r="D89" s="73">
        <f t="shared" si="7"/>
        <v>9388</v>
      </c>
      <c r="E89" s="73">
        <v>21900</v>
      </c>
      <c r="F89" s="73"/>
      <c r="G89" s="73"/>
      <c r="H89" s="125">
        <f>'4.pielikums'!B142</f>
        <v>31288</v>
      </c>
      <c r="I89" s="60"/>
      <c r="J89" s="60"/>
    </row>
    <row r="90" spans="1:10" s="59" customFormat="1" ht="30" customHeight="1" x14ac:dyDescent="0.3">
      <c r="A90" s="63"/>
      <c r="B90" s="75" t="s">
        <v>505</v>
      </c>
      <c r="C90" s="99"/>
      <c r="D90" s="73">
        <f t="shared" si="7"/>
        <v>-1890</v>
      </c>
      <c r="E90" s="73">
        <v>6255</v>
      </c>
      <c r="F90" s="73"/>
      <c r="G90" s="73"/>
      <c r="H90" s="125">
        <f>'4.pielikums'!B144</f>
        <v>4365</v>
      </c>
      <c r="I90" s="60"/>
      <c r="J90" s="60"/>
    </row>
    <row r="91" spans="1:10" ht="30" customHeight="1" x14ac:dyDescent="0.3">
      <c r="A91" s="53"/>
      <c r="B91" s="75" t="s">
        <v>81</v>
      </c>
      <c r="C91" s="99"/>
      <c r="D91" s="73">
        <f t="shared" si="7"/>
        <v>-3400</v>
      </c>
      <c r="E91" s="73">
        <v>11140</v>
      </c>
      <c r="F91" s="73"/>
      <c r="G91" s="73"/>
      <c r="H91" s="125">
        <f>'4.pielikums'!B146</f>
        <v>7740</v>
      </c>
      <c r="I91" s="60"/>
      <c r="J91" s="60"/>
    </row>
    <row r="92" spans="1:10" ht="30" customHeight="1" x14ac:dyDescent="0.3">
      <c r="A92" s="53"/>
      <c r="B92" s="75" t="s">
        <v>75</v>
      </c>
      <c r="C92" s="99"/>
      <c r="D92" s="73">
        <f t="shared" si="7"/>
        <v>0</v>
      </c>
      <c r="E92" s="73">
        <v>5232</v>
      </c>
      <c r="F92" s="73"/>
      <c r="G92" s="73"/>
      <c r="H92" s="125">
        <f>'4.pielikums'!B148</f>
        <v>5232</v>
      </c>
      <c r="I92" s="60"/>
      <c r="J92" s="60"/>
    </row>
    <row r="93" spans="1:10" ht="60" customHeight="1" x14ac:dyDescent="0.3">
      <c r="A93" s="53"/>
      <c r="B93" s="75" t="s">
        <v>686</v>
      </c>
      <c r="C93" s="99"/>
      <c r="D93" s="73">
        <f t="shared" si="7"/>
        <v>0</v>
      </c>
      <c r="E93" s="73"/>
      <c r="F93" s="73"/>
      <c r="G93" s="73">
        <v>53174</v>
      </c>
      <c r="H93" s="125">
        <f>'4.pielikums'!B536</f>
        <v>53174</v>
      </c>
      <c r="I93" s="60"/>
      <c r="J93" s="60"/>
    </row>
    <row r="94" spans="1:10" ht="66.75" customHeight="1" x14ac:dyDescent="0.3">
      <c r="A94" s="53"/>
      <c r="B94" s="75" t="s">
        <v>687</v>
      </c>
      <c r="C94" s="99"/>
      <c r="D94" s="73">
        <f t="shared" si="7"/>
        <v>0</v>
      </c>
      <c r="E94" s="73"/>
      <c r="F94" s="73"/>
      <c r="G94" s="73">
        <v>62867</v>
      </c>
      <c r="H94" s="125">
        <f>'4.pielikums'!B538</f>
        <v>62867</v>
      </c>
      <c r="I94" s="60"/>
      <c r="J94" s="60"/>
    </row>
    <row r="95" spans="1:10" ht="66" customHeight="1" x14ac:dyDescent="0.3">
      <c r="A95" s="53"/>
      <c r="B95" s="75" t="s">
        <v>688</v>
      </c>
      <c r="C95" s="99"/>
      <c r="D95" s="73">
        <f t="shared" si="7"/>
        <v>0</v>
      </c>
      <c r="E95" s="73"/>
      <c r="F95" s="73"/>
      <c r="G95" s="73">
        <v>40620</v>
      </c>
      <c r="H95" s="125">
        <f>'4.pielikums'!B540</f>
        <v>40620</v>
      </c>
      <c r="I95" s="60"/>
      <c r="J95" s="60"/>
    </row>
    <row r="96" spans="1:10" ht="66" customHeight="1" x14ac:dyDescent="0.3">
      <c r="A96" s="53"/>
      <c r="B96" s="75" t="s">
        <v>689</v>
      </c>
      <c r="C96" s="99"/>
      <c r="D96" s="73">
        <f t="shared" si="7"/>
        <v>0</v>
      </c>
      <c r="E96" s="73"/>
      <c r="F96" s="73"/>
      <c r="G96" s="73">
        <v>50659</v>
      </c>
      <c r="H96" s="125">
        <f>'4.pielikums'!B542</f>
        <v>50659</v>
      </c>
      <c r="I96" s="60"/>
      <c r="J96" s="60"/>
    </row>
    <row r="97" spans="1:10" ht="54.75" customHeight="1" x14ac:dyDescent="0.3">
      <c r="A97" s="53"/>
      <c r="B97" s="75" t="s">
        <v>747</v>
      </c>
      <c r="C97" s="99"/>
      <c r="D97" s="73">
        <f>H97-E97-G97-F97-C97</f>
        <v>195</v>
      </c>
      <c r="E97" s="73"/>
      <c r="F97" s="73">
        <v>742</v>
      </c>
      <c r="G97" s="73"/>
      <c r="H97" s="125">
        <f>'4.pielikums'!B600</f>
        <v>937</v>
      </c>
      <c r="I97" s="60"/>
      <c r="J97" s="60"/>
    </row>
    <row r="98" spans="1:10" ht="30" customHeight="1" x14ac:dyDescent="0.3">
      <c r="A98" s="57" t="s">
        <v>179</v>
      </c>
      <c r="B98" s="71" t="s">
        <v>180</v>
      </c>
      <c r="C98" s="72">
        <f t="shared" ref="C98:G98" si="8">C99+C102</f>
        <v>65133</v>
      </c>
      <c r="D98" s="72">
        <f t="shared" si="8"/>
        <v>3145584</v>
      </c>
      <c r="E98" s="72">
        <f t="shared" si="8"/>
        <v>742635</v>
      </c>
      <c r="F98" s="72">
        <f t="shared" si="8"/>
        <v>291035</v>
      </c>
      <c r="G98" s="72">
        <f t="shared" si="8"/>
        <v>476284</v>
      </c>
      <c r="H98" s="125">
        <f>H99+H102</f>
        <v>4720671</v>
      </c>
    </row>
    <row r="99" spans="1:10" ht="15" customHeight="1" x14ac:dyDescent="0.3">
      <c r="A99" s="55"/>
      <c r="B99" s="70" t="s">
        <v>181</v>
      </c>
      <c r="C99" s="72">
        <f t="shared" ref="C99:G99" si="9">SUM(C100:C101)</f>
        <v>0</v>
      </c>
      <c r="D99" s="72">
        <f t="shared" si="9"/>
        <v>119479</v>
      </c>
      <c r="E99" s="72">
        <f t="shared" si="9"/>
        <v>0</v>
      </c>
      <c r="F99" s="72">
        <f t="shared" si="9"/>
        <v>0</v>
      </c>
      <c r="G99" s="72">
        <f t="shared" si="9"/>
        <v>0</v>
      </c>
      <c r="H99" s="125">
        <f>SUM(H100:H101)</f>
        <v>119479</v>
      </c>
    </row>
    <row r="100" spans="1:10" ht="15" customHeight="1" x14ac:dyDescent="0.3">
      <c r="A100" s="19"/>
      <c r="B100" s="69" t="s">
        <v>8</v>
      </c>
      <c r="C100" s="89"/>
      <c r="D100" s="73">
        <f>H100-E100-G100-F100-C100</f>
        <v>103880</v>
      </c>
      <c r="E100" s="73"/>
      <c r="F100" s="73"/>
      <c r="G100" s="73"/>
      <c r="H100" s="125">
        <f>'4.pielikums'!B150</f>
        <v>103880</v>
      </c>
    </row>
    <row r="101" spans="1:10" ht="15" customHeight="1" x14ac:dyDescent="0.3">
      <c r="A101" s="19"/>
      <c r="B101" s="123" t="s">
        <v>566</v>
      </c>
      <c r="C101" s="89"/>
      <c r="D101" s="73">
        <f>H101-E101-G101-F101-C101</f>
        <v>15599</v>
      </c>
      <c r="E101" s="73"/>
      <c r="F101" s="73"/>
      <c r="G101" s="73"/>
      <c r="H101" s="125">
        <f>'4.pielikums'!B152</f>
        <v>15599</v>
      </c>
    </row>
    <row r="102" spans="1:10" ht="31.2" x14ac:dyDescent="0.3">
      <c r="A102" s="53"/>
      <c r="B102" s="71" t="s">
        <v>182</v>
      </c>
      <c r="C102" s="72">
        <f t="shared" ref="C102:H102" si="10">SUM(C103:C178)</f>
        <v>65133</v>
      </c>
      <c r="D102" s="72">
        <f t="shared" si="10"/>
        <v>3026105</v>
      </c>
      <c r="E102" s="72">
        <f t="shared" si="10"/>
        <v>742635</v>
      </c>
      <c r="F102" s="72">
        <f t="shared" si="10"/>
        <v>291035</v>
      </c>
      <c r="G102" s="72">
        <f t="shared" si="10"/>
        <v>476284</v>
      </c>
      <c r="H102" s="125">
        <f t="shared" si="10"/>
        <v>4601192</v>
      </c>
    </row>
    <row r="103" spans="1:10" s="59" customFormat="1" ht="15" customHeight="1" x14ac:dyDescent="0.3">
      <c r="A103" s="64"/>
      <c r="B103" s="68" t="s">
        <v>113</v>
      </c>
      <c r="C103" s="99"/>
      <c r="D103" s="73">
        <f t="shared" ref="D103:D134" si="11">H103-E103-G103-F103-C103</f>
        <v>140657</v>
      </c>
      <c r="E103" s="73">
        <v>21000</v>
      </c>
      <c r="F103" s="73"/>
      <c r="G103" s="73"/>
      <c r="H103" s="125">
        <f>'4.pielikums'!B154</f>
        <v>161657</v>
      </c>
    </row>
    <row r="104" spans="1:10" s="59" customFormat="1" ht="15" customHeight="1" x14ac:dyDescent="0.3">
      <c r="A104" s="64"/>
      <c r="B104" s="68" t="s">
        <v>117</v>
      </c>
      <c r="C104" s="99"/>
      <c r="D104" s="73">
        <f t="shared" si="11"/>
        <v>139373</v>
      </c>
      <c r="E104" s="73"/>
      <c r="F104" s="73"/>
      <c r="G104" s="73"/>
      <c r="H104" s="125">
        <f>'4.pielikums'!B156</f>
        <v>139373</v>
      </c>
    </row>
    <row r="105" spans="1:10" s="59" customFormat="1" ht="17.25" customHeight="1" x14ac:dyDescent="0.3">
      <c r="A105" s="64"/>
      <c r="B105" s="68" t="s">
        <v>550</v>
      </c>
      <c r="C105" s="99"/>
      <c r="D105" s="73">
        <f t="shared" si="11"/>
        <v>487701</v>
      </c>
      <c r="E105" s="73"/>
      <c r="F105" s="73"/>
      <c r="G105" s="73"/>
      <c r="H105" s="125">
        <f>'4.pielikums'!B232</f>
        <v>487701</v>
      </c>
    </row>
    <row r="106" spans="1:10" ht="21.75" customHeight="1" x14ac:dyDescent="0.3">
      <c r="A106" s="54"/>
      <c r="B106" s="68" t="s">
        <v>9</v>
      </c>
      <c r="C106" s="99"/>
      <c r="D106" s="73">
        <f t="shared" si="11"/>
        <v>45750</v>
      </c>
      <c r="E106" s="73">
        <f>420+100</f>
        <v>520</v>
      </c>
      <c r="F106" s="73"/>
      <c r="G106" s="73"/>
      <c r="H106" s="125">
        <f>'4.pielikums'!B158</f>
        <v>46270</v>
      </c>
    </row>
    <row r="107" spans="1:10" ht="21.75" customHeight="1" x14ac:dyDescent="0.3">
      <c r="A107" s="54"/>
      <c r="B107" s="68" t="s">
        <v>570</v>
      </c>
      <c r="C107" s="99"/>
      <c r="D107" s="73">
        <f t="shared" si="11"/>
        <v>181519</v>
      </c>
      <c r="E107" s="73">
        <v>565</v>
      </c>
      <c r="F107" s="73"/>
      <c r="G107" s="73"/>
      <c r="H107" s="125">
        <f>'4.pielikums'!B160</f>
        <v>182084</v>
      </c>
    </row>
    <row r="108" spans="1:10" ht="30" customHeight="1" x14ac:dyDescent="0.3">
      <c r="A108" s="53"/>
      <c r="B108" s="68" t="s">
        <v>183</v>
      </c>
      <c r="C108" s="99"/>
      <c r="D108" s="73">
        <f t="shared" si="11"/>
        <v>94534</v>
      </c>
      <c r="E108" s="73">
        <v>5600</v>
      </c>
      <c r="F108" s="73"/>
      <c r="G108" s="73"/>
      <c r="H108" s="125">
        <f>'4.pielikums'!B162</f>
        <v>100134</v>
      </c>
    </row>
    <row r="109" spans="1:10" ht="28.2" customHeight="1" x14ac:dyDescent="0.3">
      <c r="A109" s="53"/>
      <c r="B109" s="68" t="s">
        <v>10</v>
      </c>
      <c r="C109" s="99"/>
      <c r="D109" s="73">
        <f t="shared" si="11"/>
        <v>54051</v>
      </c>
      <c r="E109" s="73">
        <v>2766</v>
      </c>
      <c r="F109" s="73"/>
      <c r="G109" s="73"/>
      <c r="H109" s="125">
        <f>'4.pielikums'!B164</f>
        <v>56817</v>
      </c>
    </row>
    <row r="110" spans="1:10" ht="30" customHeight="1" x14ac:dyDescent="0.3">
      <c r="A110" s="53"/>
      <c r="B110" s="68" t="s">
        <v>11</v>
      </c>
      <c r="C110" s="99"/>
      <c r="D110" s="73">
        <f t="shared" si="11"/>
        <v>58460</v>
      </c>
      <c r="E110" s="73">
        <v>3037</v>
      </c>
      <c r="F110" s="73"/>
      <c r="G110" s="73"/>
      <c r="H110" s="125">
        <f>'4.pielikums'!B166</f>
        <v>61497</v>
      </c>
    </row>
    <row r="111" spans="1:10" ht="32.4" customHeight="1" x14ac:dyDescent="0.3">
      <c r="A111" s="53"/>
      <c r="B111" s="68" t="s">
        <v>12</v>
      </c>
      <c r="C111" s="99"/>
      <c r="D111" s="73">
        <f t="shared" si="11"/>
        <v>37730</v>
      </c>
      <c r="E111" s="73">
        <v>3044</v>
      </c>
      <c r="F111" s="73"/>
      <c r="G111" s="73"/>
      <c r="H111" s="125">
        <f>'4.pielikums'!B168</f>
        <v>40774</v>
      </c>
    </row>
    <row r="112" spans="1:10" ht="29.4" customHeight="1" x14ac:dyDescent="0.3">
      <c r="A112" s="53"/>
      <c r="B112" s="68" t="s">
        <v>13</v>
      </c>
      <c r="C112" s="99"/>
      <c r="D112" s="73">
        <f t="shared" si="11"/>
        <v>105983</v>
      </c>
      <c r="E112" s="73">
        <f>125+1890</f>
        <v>2015</v>
      </c>
      <c r="F112" s="73"/>
      <c r="G112" s="73"/>
      <c r="H112" s="125">
        <f>'4.pielikums'!B170</f>
        <v>107998</v>
      </c>
    </row>
    <row r="113" spans="1:8" ht="30" customHeight="1" x14ac:dyDescent="0.3">
      <c r="A113" s="53"/>
      <c r="B113" s="75" t="s">
        <v>226</v>
      </c>
      <c r="C113" s="99"/>
      <c r="D113" s="73">
        <f t="shared" si="11"/>
        <v>68772</v>
      </c>
      <c r="E113" s="73">
        <v>41000</v>
      </c>
      <c r="F113" s="73"/>
      <c r="G113" s="73"/>
      <c r="H113" s="125">
        <f>'4.pielikums'!B172</f>
        <v>109772</v>
      </c>
    </row>
    <row r="114" spans="1:8" ht="30" customHeight="1" x14ac:dyDescent="0.3">
      <c r="A114" s="53"/>
      <c r="B114" s="76" t="s">
        <v>82</v>
      </c>
      <c r="C114" s="99"/>
      <c r="D114" s="73">
        <f t="shared" si="11"/>
        <v>117428</v>
      </c>
      <c r="E114" s="73">
        <v>3461</v>
      </c>
      <c r="F114" s="73"/>
      <c r="G114" s="73"/>
      <c r="H114" s="125">
        <f>'4.pielikums'!B174</f>
        <v>120889</v>
      </c>
    </row>
    <row r="115" spans="1:8" ht="30" customHeight="1" x14ac:dyDescent="0.3">
      <c r="A115" s="53"/>
      <c r="B115" s="68" t="s">
        <v>14</v>
      </c>
      <c r="C115" s="99"/>
      <c r="D115" s="73">
        <f t="shared" si="11"/>
        <v>60659</v>
      </c>
      <c r="E115" s="73">
        <v>115</v>
      </c>
      <c r="F115" s="73"/>
      <c r="G115" s="73"/>
      <c r="H115" s="125">
        <f>'4.pielikums'!B176</f>
        <v>60774</v>
      </c>
    </row>
    <row r="116" spans="1:8" ht="30" customHeight="1" x14ac:dyDescent="0.3">
      <c r="A116" s="53"/>
      <c r="B116" s="75" t="s">
        <v>227</v>
      </c>
      <c r="C116" s="99"/>
      <c r="D116" s="73">
        <f t="shared" si="11"/>
        <v>45137</v>
      </c>
      <c r="E116" s="73">
        <v>0</v>
      </c>
      <c r="F116" s="73"/>
      <c r="G116" s="73"/>
      <c r="H116" s="125">
        <f>'4.pielikums'!B178</f>
        <v>45137</v>
      </c>
    </row>
    <row r="117" spans="1:8" ht="25.5" customHeight="1" x14ac:dyDescent="0.3">
      <c r="A117" s="53"/>
      <c r="B117" s="76" t="s">
        <v>83</v>
      </c>
      <c r="C117" s="99"/>
      <c r="D117" s="73">
        <f t="shared" si="11"/>
        <v>178638</v>
      </c>
      <c r="E117" s="73">
        <f>8166+1257</f>
        <v>9423</v>
      </c>
      <c r="F117" s="73"/>
      <c r="G117" s="73"/>
      <c r="H117" s="125">
        <f>'4.pielikums'!B180</f>
        <v>188061</v>
      </c>
    </row>
    <row r="118" spans="1:8" ht="34.200000000000003" customHeight="1" x14ac:dyDescent="0.3">
      <c r="A118" s="53"/>
      <c r="B118" s="75" t="s">
        <v>228</v>
      </c>
      <c r="C118" s="99"/>
      <c r="D118" s="73">
        <f t="shared" si="11"/>
        <v>52359</v>
      </c>
      <c r="E118" s="73">
        <v>2132</v>
      </c>
      <c r="F118" s="73"/>
      <c r="G118" s="73"/>
      <c r="H118" s="125">
        <f>'4.pielikums'!B182</f>
        <v>54491</v>
      </c>
    </row>
    <row r="119" spans="1:8" ht="29.4" customHeight="1" x14ac:dyDescent="0.3">
      <c r="A119" s="53"/>
      <c r="B119" s="68" t="s">
        <v>15</v>
      </c>
      <c r="C119" s="99"/>
      <c r="D119" s="73">
        <f t="shared" si="11"/>
        <v>101086</v>
      </c>
      <c r="E119" s="73">
        <v>8605</v>
      </c>
      <c r="F119" s="73"/>
      <c r="G119" s="73"/>
      <c r="H119" s="125">
        <f>'4.pielikums'!B184</f>
        <v>109691</v>
      </c>
    </row>
    <row r="120" spans="1:8" s="59" customFormat="1" ht="30" customHeight="1" x14ac:dyDescent="0.3">
      <c r="A120" s="63"/>
      <c r="B120" s="68" t="s">
        <v>16</v>
      </c>
      <c r="C120" s="99"/>
      <c r="D120" s="73">
        <f t="shared" si="11"/>
        <v>77646</v>
      </c>
      <c r="E120" s="73"/>
      <c r="F120" s="73"/>
      <c r="G120" s="73"/>
      <c r="H120" s="125">
        <f>'4.pielikums'!B186</f>
        <v>77646</v>
      </c>
    </row>
    <row r="121" spans="1:8" ht="33.6" customHeight="1" x14ac:dyDescent="0.3">
      <c r="A121" s="53"/>
      <c r="B121" s="75" t="s">
        <v>122</v>
      </c>
      <c r="C121" s="99"/>
      <c r="D121" s="73">
        <f t="shared" si="11"/>
        <v>81297</v>
      </c>
      <c r="E121" s="73">
        <v>3450</v>
      </c>
      <c r="F121" s="73"/>
      <c r="G121" s="73"/>
      <c r="H121" s="125">
        <f>'4.pielikums'!B188</f>
        <v>84747</v>
      </c>
    </row>
    <row r="122" spans="1:8" ht="31.95" customHeight="1" x14ac:dyDescent="0.3">
      <c r="A122" s="53"/>
      <c r="B122" s="68" t="s">
        <v>17</v>
      </c>
      <c r="C122" s="99"/>
      <c r="D122" s="73">
        <f t="shared" si="11"/>
        <v>106925</v>
      </c>
      <c r="E122" s="73">
        <v>485</v>
      </c>
      <c r="F122" s="73"/>
      <c r="G122" s="73"/>
      <c r="H122" s="125">
        <f>'4.pielikums'!B190</f>
        <v>107410</v>
      </c>
    </row>
    <row r="123" spans="1:8" ht="30" customHeight="1" x14ac:dyDescent="0.3">
      <c r="A123" s="53"/>
      <c r="B123" s="75" t="s">
        <v>567</v>
      </c>
      <c r="C123" s="99"/>
      <c r="D123" s="73">
        <f t="shared" si="11"/>
        <v>16605</v>
      </c>
      <c r="E123" s="73"/>
      <c r="F123" s="73"/>
      <c r="G123" s="73"/>
      <c r="H123" s="125">
        <f>'4.pielikums'!B192</f>
        <v>16605</v>
      </c>
    </row>
    <row r="124" spans="1:8" ht="30" customHeight="1" x14ac:dyDescent="0.3">
      <c r="A124" s="53"/>
      <c r="B124" s="75" t="s">
        <v>568</v>
      </c>
      <c r="C124" s="99"/>
      <c r="D124" s="73">
        <f t="shared" si="11"/>
        <v>46591</v>
      </c>
      <c r="E124" s="73">
        <v>3350</v>
      </c>
      <c r="F124" s="73"/>
      <c r="G124" s="73"/>
      <c r="H124" s="125">
        <f>'4.pielikums'!B194</f>
        <v>49941</v>
      </c>
    </row>
    <row r="125" spans="1:8" ht="20.25" customHeight="1" x14ac:dyDescent="0.3">
      <c r="A125" s="53"/>
      <c r="B125" s="75" t="s">
        <v>571</v>
      </c>
      <c r="C125" s="99"/>
      <c r="D125" s="73">
        <f t="shared" si="11"/>
        <v>200927</v>
      </c>
      <c r="E125" s="73">
        <v>28177</v>
      </c>
      <c r="F125" s="73"/>
      <c r="G125" s="73"/>
      <c r="H125" s="125">
        <f>'4.pielikums'!B196</f>
        <v>229104</v>
      </c>
    </row>
    <row r="126" spans="1:8" ht="38.25" customHeight="1" x14ac:dyDescent="0.3">
      <c r="A126" s="53"/>
      <c r="B126" s="75" t="s">
        <v>664</v>
      </c>
      <c r="C126" s="99"/>
      <c r="D126" s="73">
        <f t="shared" si="11"/>
        <v>0</v>
      </c>
      <c r="E126" s="73">
        <v>79658</v>
      </c>
      <c r="F126" s="73"/>
      <c r="G126" s="73"/>
      <c r="H126" s="125">
        <f>'4.pielikums'!B198</f>
        <v>79658</v>
      </c>
    </row>
    <row r="127" spans="1:8" ht="38.25" customHeight="1" x14ac:dyDescent="0.3">
      <c r="A127" s="53"/>
      <c r="B127" s="75" t="s">
        <v>672</v>
      </c>
      <c r="C127" s="99"/>
      <c r="D127" s="73">
        <f t="shared" si="11"/>
        <v>0</v>
      </c>
      <c r="E127" s="73">
        <v>200</v>
      </c>
      <c r="F127" s="73"/>
      <c r="G127" s="73"/>
      <c r="H127" s="125">
        <f>'4.pielikums'!B200</f>
        <v>200</v>
      </c>
    </row>
    <row r="128" spans="1:8" ht="38.25" customHeight="1" x14ac:dyDescent="0.3">
      <c r="A128" s="53"/>
      <c r="B128" s="75" t="s">
        <v>665</v>
      </c>
      <c r="C128" s="99"/>
      <c r="D128" s="73">
        <f t="shared" si="11"/>
        <v>0</v>
      </c>
      <c r="E128" s="73">
        <v>340</v>
      </c>
      <c r="F128" s="73"/>
      <c r="G128" s="73"/>
      <c r="H128" s="125">
        <f>'4.pielikums'!B202</f>
        <v>340</v>
      </c>
    </row>
    <row r="129" spans="1:8" ht="38.25" customHeight="1" x14ac:dyDescent="0.3">
      <c r="A129" s="53"/>
      <c r="B129" s="75" t="s">
        <v>666</v>
      </c>
      <c r="C129" s="99"/>
      <c r="D129" s="73">
        <f t="shared" si="11"/>
        <v>0</v>
      </c>
      <c r="E129" s="73">
        <v>1810</v>
      </c>
      <c r="F129" s="73"/>
      <c r="G129" s="73"/>
      <c r="H129" s="125">
        <f>'4.pielikums'!B204</f>
        <v>1810</v>
      </c>
    </row>
    <row r="130" spans="1:8" ht="38.25" customHeight="1" x14ac:dyDescent="0.3">
      <c r="A130" s="53"/>
      <c r="B130" s="75" t="s">
        <v>667</v>
      </c>
      <c r="C130" s="99"/>
      <c r="D130" s="73">
        <f t="shared" si="11"/>
        <v>0</v>
      </c>
      <c r="E130" s="73">
        <v>3043</v>
      </c>
      <c r="F130" s="73"/>
      <c r="G130" s="73"/>
      <c r="H130" s="125">
        <f>'4.pielikums'!B206</f>
        <v>3043</v>
      </c>
    </row>
    <row r="131" spans="1:8" ht="38.25" customHeight="1" x14ac:dyDescent="0.3">
      <c r="A131" s="53"/>
      <c r="B131" s="75" t="s">
        <v>668</v>
      </c>
      <c r="C131" s="99"/>
      <c r="D131" s="73">
        <f t="shared" si="11"/>
        <v>0</v>
      </c>
      <c r="E131" s="73">
        <v>3750</v>
      </c>
      <c r="F131" s="73"/>
      <c r="G131" s="73"/>
      <c r="H131" s="125">
        <f>'4.pielikums'!B208</f>
        <v>3750</v>
      </c>
    </row>
    <row r="132" spans="1:8" ht="38.25" customHeight="1" x14ac:dyDescent="0.3">
      <c r="A132" s="53"/>
      <c r="B132" s="75" t="s">
        <v>679</v>
      </c>
      <c r="C132" s="99"/>
      <c r="D132" s="73">
        <f t="shared" si="11"/>
        <v>0</v>
      </c>
      <c r="E132" s="73">
        <v>9400</v>
      </c>
      <c r="F132" s="73"/>
      <c r="G132" s="73"/>
      <c r="H132" s="125">
        <f>'4.pielikums'!B210</f>
        <v>9400</v>
      </c>
    </row>
    <row r="133" spans="1:8" ht="38.25" customHeight="1" x14ac:dyDescent="0.3">
      <c r="A133" s="53"/>
      <c r="B133" s="75" t="s">
        <v>674</v>
      </c>
      <c r="C133" s="99"/>
      <c r="D133" s="73">
        <f t="shared" si="11"/>
        <v>0</v>
      </c>
      <c r="E133" s="73">
        <v>2415</v>
      </c>
      <c r="F133" s="73"/>
      <c r="G133" s="73"/>
      <c r="H133" s="125">
        <f>'4.pielikums'!B212</f>
        <v>2415</v>
      </c>
    </row>
    <row r="134" spans="1:8" ht="38.25" customHeight="1" x14ac:dyDescent="0.3">
      <c r="A134" s="53"/>
      <c r="B134" s="75" t="s">
        <v>669</v>
      </c>
      <c r="C134" s="99"/>
      <c r="D134" s="73">
        <f t="shared" si="11"/>
        <v>0</v>
      </c>
      <c r="E134" s="73">
        <v>60</v>
      </c>
      <c r="F134" s="73"/>
      <c r="G134" s="73"/>
      <c r="H134" s="125">
        <f>'4.pielikums'!B214</f>
        <v>60</v>
      </c>
    </row>
    <row r="135" spans="1:8" ht="38.25" customHeight="1" x14ac:dyDescent="0.3">
      <c r="A135" s="53"/>
      <c r="B135" s="75" t="s">
        <v>678</v>
      </c>
      <c r="C135" s="99"/>
      <c r="D135" s="73">
        <f t="shared" ref="D135:D166" si="12">H135-E135-G135-F135-C135</f>
        <v>0</v>
      </c>
      <c r="E135" s="73">
        <v>191</v>
      </c>
      <c r="F135" s="73"/>
      <c r="G135" s="73"/>
      <c r="H135" s="125">
        <f>'4.pielikums'!B216</f>
        <v>191</v>
      </c>
    </row>
    <row r="136" spans="1:8" ht="38.25" customHeight="1" x14ac:dyDescent="0.3">
      <c r="A136" s="53"/>
      <c r="B136" s="75" t="s">
        <v>673</v>
      </c>
      <c r="C136" s="99"/>
      <c r="D136" s="73">
        <f t="shared" si="12"/>
        <v>0</v>
      </c>
      <c r="E136" s="73">
        <v>1775</v>
      </c>
      <c r="F136" s="73"/>
      <c r="G136" s="73"/>
      <c r="H136" s="125">
        <f>'4.pielikums'!B218</f>
        <v>1775</v>
      </c>
    </row>
    <row r="137" spans="1:8" ht="38.25" customHeight="1" x14ac:dyDescent="0.3">
      <c r="A137" s="53"/>
      <c r="B137" s="75" t="s">
        <v>677</v>
      </c>
      <c r="C137" s="99"/>
      <c r="D137" s="73">
        <f t="shared" si="12"/>
        <v>0</v>
      </c>
      <c r="E137" s="73">
        <v>450</v>
      </c>
      <c r="F137" s="73"/>
      <c r="G137" s="73"/>
      <c r="H137" s="125">
        <f>'4.pielikums'!B220</f>
        <v>450</v>
      </c>
    </row>
    <row r="138" spans="1:8" ht="38.25" customHeight="1" x14ac:dyDescent="0.3">
      <c r="A138" s="53"/>
      <c r="B138" s="75" t="s">
        <v>670</v>
      </c>
      <c r="C138" s="99"/>
      <c r="D138" s="73">
        <f t="shared" si="12"/>
        <v>0</v>
      </c>
      <c r="E138" s="73">
        <v>800</v>
      </c>
      <c r="F138" s="73"/>
      <c r="G138" s="73"/>
      <c r="H138" s="125">
        <f>'4.pielikums'!B222</f>
        <v>800</v>
      </c>
    </row>
    <row r="139" spans="1:8" ht="38.25" customHeight="1" x14ac:dyDescent="0.3">
      <c r="A139" s="53"/>
      <c r="B139" s="75" t="s">
        <v>675</v>
      </c>
      <c r="C139" s="99"/>
      <c r="D139" s="73">
        <f t="shared" si="12"/>
        <v>0</v>
      </c>
      <c r="E139" s="73">
        <v>1895</v>
      </c>
      <c r="F139" s="73"/>
      <c r="G139" s="73"/>
      <c r="H139" s="125">
        <f>'4.pielikums'!B224</f>
        <v>1895</v>
      </c>
    </row>
    <row r="140" spans="1:8" ht="38.25" customHeight="1" x14ac:dyDescent="0.3">
      <c r="A140" s="53"/>
      <c r="B140" s="75" t="s">
        <v>671</v>
      </c>
      <c r="C140" s="99"/>
      <c r="D140" s="73">
        <f t="shared" si="12"/>
        <v>219</v>
      </c>
      <c r="E140" s="73">
        <v>446</v>
      </c>
      <c r="F140" s="73"/>
      <c r="G140" s="73"/>
      <c r="H140" s="125">
        <f>'4.pielikums'!B226</f>
        <v>665</v>
      </c>
    </row>
    <row r="141" spans="1:8" ht="38.25" customHeight="1" x14ac:dyDescent="0.3">
      <c r="A141" s="53"/>
      <c r="B141" s="75" t="s">
        <v>652</v>
      </c>
      <c r="C141" s="99"/>
      <c r="D141" s="73">
        <f t="shared" si="12"/>
        <v>0</v>
      </c>
      <c r="E141" s="73">
        <v>5000</v>
      </c>
      <c r="F141" s="73"/>
      <c r="G141" s="73"/>
      <c r="H141" s="125">
        <f>'4.pielikums'!B228</f>
        <v>5000</v>
      </c>
    </row>
    <row r="142" spans="1:8" ht="38.25" customHeight="1" x14ac:dyDescent="0.3">
      <c r="A142" s="53"/>
      <c r="B142" s="75" t="s">
        <v>676</v>
      </c>
      <c r="C142" s="99"/>
      <c r="D142" s="73">
        <f t="shared" si="12"/>
        <v>0</v>
      </c>
      <c r="E142" s="73">
        <v>5310</v>
      </c>
      <c r="F142" s="73"/>
      <c r="G142" s="73"/>
      <c r="H142" s="125">
        <f>'4.pielikums'!B230</f>
        <v>5310</v>
      </c>
    </row>
    <row r="143" spans="1:8" ht="30" customHeight="1" x14ac:dyDescent="0.3">
      <c r="A143" s="53"/>
      <c r="B143" s="75" t="s">
        <v>628</v>
      </c>
      <c r="C143" s="99"/>
      <c r="D143" s="73">
        <f t="shared" si="12"/>
        <v>29038</v>
      </c>
      <c r="E143" s="73">
        <v>35878</v>
      </c>
      <c r="F143" s="73"/>
      <c r="G143" s="73"/>
      <c r="H143" s="125">
        <f>'4.pielikums'!B234</f>
        <v>64916</v>
      </c>
    </row>
    <row r="144" spans="1:8" ht="30" customHeight="1" x14ac:dyDescent="0.3">
      <c r="A144" s="53"/>
      <c r="B144" s="75" t="s">
        <v>629</v>
      </c>
      <c r="C144" s="99"/>
      <c r="D144" s="73">
        <f t="shared" si="12"/>
        <v>46409</v>
      </c>
      <c r="E144" s="73">
        <v>65000</v>
      </c>
      <c r="F144" s="73"/>
      <c r="G144" s="73"/>
      <c r="H144" s="125">
        <f>'4.pielikums'!B236</f>
        <v>111409</v>
      </c>
    </row>
    <row r="145" spans="1:8" ht="30" customHeight="1" x14ac:dyDescent="0.3">
      <c r="A145" s="53"/>
      <c r="B145" s="75" t="s">
        <v>630</v>
      </c>
      <c r="C145" s="99"/>
      <c r="D145" s="73">
        <f t="shared" si="12"/>
        <v>29607</v>
      </c>
      <c r="E145" s="73">
        <v>17000</v>
      </c>
      <c r="F145" s="73"/>
      <c r="G145" s="73"/>
      <c r="H145" s="125">
        <f>'4.pielikums'!B238</f>
        <v>46607</v>
      </c>
    </row>
    <row r="146" spans="1:8" ht="30" customHeight="1" x14ac:dyDescent="0.3">
      <c r="A146" s="53"/>
      <c r="B146" s="75" t="s">
        <v>631</v>
      </c>
      <c r="C146" s="99"/>
      <c r="D146" s="73">
        <f t="shared" si="12"/>
        <v>44991</v>
      </c>
      <c r="E146" s="73">
        <v>32200</v>
      </c>
      <c r="F146" s="73"/>
      <c r="G146" s="73"/>
      <c r="H146" s="125">
        <f>'4.pielikums'!B240</f>
        <v>77191</v>
      </c>
    </row>
    <row r="147" spans="1:8" ht="30" customHeight="1" x14ac:dyDescent="0.3">
      <c r="A147" s="53"/>
      <c r="B147" s="75" t="s">
        <v>632</v>
      </c>
      <c r="C147" s="99"/>
      <c r="D147" s="73">
        <f t="shared" si="12"/>
        <v>17862</v>
      </c>
      <c r="E147" s="73">
        <v>16000</v>
      </c>
      <c r="F147" s="73"/>
      <c r="G147" s="73"/>
      <c r="H147" s="125">
        <f>'4.pielikums'!B242</f>
        <v>33862</v>
      </c>
    </row>
    <row r="148" spans="1:8" ht="30" customHeight="1" x14ac:dyDescent="0.3">
      <c r="A148" s="53"/>
      <c r="B148" s="75" t="s">
        <v>66</v>
      </c>
      <c r="C148" s="99"/>
      <c r="D148" s="73">
        <f t="shared" si="12"/>
        <v>10556</v>
      </c>
      <c r="E148" s="73">
        <v>85000</v>
      </c>
      <c r="F148" s="73"/>
      <c r="G148" s="73"/>
      <c r="H148" s="125">
        <f>'4.pielikums'!B244</f>
        <v>95556</v>
      </c>
    </row>
    <row r="149" spans="1:8" ht="33" customHeight="1" x14ac:dyDescent="0.3">
      <c r="A149" s="53"/>
      <c r="B149" s="75" t="s">
        <v>608</v>
      </c>
      <c r="C149" s="99"/>
      <c r="D149" s="73">
        <f t="shared" si="12"/>
        <v>20383</v>
      </c>
      <c r="E149" s="73">
        <v>80000</v>
      </c>
      <c r="F149" s="73"/>
      <c r="G149" s="73"/>
      <c r="H149" s="125">
        <f>'4.pielikums'!B246</f>
        <v>100383</v>
      </c>
    </row>
    <row r="150" spans="1:8" ht="15" customHeight="1" x14ac:dyDescent="0.3">
      <c r="A150" s="53"/>
      <c r="B150" s="113" t="s">
        <v>128</v>
      </c>
      <c r="C150" s="99"/>
      <c r="D150" s="73">
        <f t="shared" si="12"/>
        <v>270</v>
      </c>
      <c r="E150" s="73">
        <v>3635</v>
      </c>
      <c r="F150" s="73"/>
      <c r="G150" s="73"/>
      <c r="H150" s="125">
        <f>'4.pielikums'!B248</f>
        <v>3905</v>
      </c>
    </row>
    <row r="151" spans="1:8" ht="15" customHeight="1" x14ac:dyDescent="0.3">
      <c r="A151" s="53"/>
      <c r="B151" s="113" t="s">
        <v>127</v>
      </c>
      <c r="C151" s="99"/>
      <c r="D151" s="73">
        <f t="shared" si="12"/>
        <v>57</v>
      </c>
      <c r="E151" s="73">
        <v>10185</v>
      </c>
      <c r="F151" s="73"/>
      <c r="G151" s="73"/>
      <c r="H151" s="125">
        <f>'4.pielikums'!B250</f>
        <v>10242</v>
      </c>
    </row>
    <row r="152" spans="1:8" s="59" customFormat="1" ht="30" customHeight="1" x14ac:dyDescent="0.3">
      <c r="A152" s="63"/>
      <c r="B152" s="75" t="s">
        <v>572</v>
      </c>
      <c r="C152" s="99"/>
      <c r="D152" s="73">
        <f t="shared" si="12"/>
        <v>-2425</v>
      </c>
      <c r="E152" s="73">
        <v>10625</v>
      </c>
      <c r="F152" s="73"/>
      <c r="G152" s="73"/>
      <c r="H152" s="125">
        <f>'4.pielikums'!B252</f>
        <v>8200</v>
      </c>
    </row>
    <row r="153" spans="1:8" ht="15" customHeight="1" x14ac:dyDescent="0.3">
      <c r="A153" s="53"/>
      <c r="B153" s="75" t="s">
        <v>573</v>
      </c>
      <c r="C153" s="99"/>
      <c r="D153" s="73">
        <f t="shared" si="12"/>
        <v>3220</v>
      </c>
      <c r="E153" s="73">
        <v>5920</v>
      </c>
      <c r="F153" s="73"/>
      <c r="G153" s="73"/>
      <c r="H153" s="125">
        <f>'4.pielikums'!B254</f>
        <v>9140</v>
      </c>
    </row>
    <row r="154" spans="1:8" s="59" customFormat="1" ht="30" customHeight="1" x14ac:dyDescent="0.3">
      <c r="A154" s="63"/>
      <c r="B154" s="75" t="s">
        <v>574</v>
      </c>
      <c r="C154" s="99"/>
      <c r="D154" s="73">
        <f t="shared" si="12"/>
        <v>1078</v>
      </c>
      <c r="E154" s="73">
        <v>3215</v>
      </c>
      <c r="F154" s="73"/>
      <c r="G154" s="73"/>
      <c r="H154" s="125">
        <f>'4.pielikums'!B256</f>
        <v>4293</v>
      </c>
    </row>
    <row r="155" spans="1:8" ht="15" customHeight="1" x14ac:dyDescent="0.3">
      <c r="A155" s="53"/>
      <c r="B155" s="134" t="s">
        <v>575</v>
      </c>
      <c r="C155" s="99"/>
      <c r="D155" s="73">
        <f t="shared" si="12"/>
        <v>-475</v>
      </c>
      <c r="E155" s="73">
        <v>5325</v>
      </c>
      <c r="F155" s="73"/>
      <c r="G155" s="73"/>
      <c r="H155" s="125">
        <f>'4.pielikums'!B258</f>
        <v>4850</v>
      </c>
    </row>
    <row r="156" spans="1:8" ht="15" customHeight="1" x14ac:dyDescent="0.3">
      <c r="A156" s="53"/>
      <c r="B156" s="75" t="s">
        <v>576</v>
      </c>
      <c r="C156" s="99"/>
      <c r="D156" s="73">
        <f t="shared" si="12"/>
        <v>-410</v>
      </c>
      <c r="E156" s="73">
        <v>8020</v>
      </c>
      <c r="F156" s="73"/>
      <c r="G156" s="73"/>
      <c r="H156" s="125">
        <f>'4.pielikums'!B260</f>
        <v>7610</v>
      </c>
    </row>
    <row r="157" spans="1:8" ht="30" customHeight="1" x14ac:dyDescent="0.3">
      <c r="A157" s="53"/>
      <c r="B157" s="75" t="s">
        <v>577</v>
      </c>
      <c r="C157" s="99"/>
      <c r="D157" s="73">
        <f t="shared" si="12"/>
        <v>-3600</v>
      </c>
      <c r="E157" s="73">
        <v>10000</v>
      </c>
      <c r="F157" s="73"/>
      <c r="G157" s="73"/>
      <c r="H157" s="125">
        <f>'4.pielikums'!B262</f>
        <v>6400</v>
      </c>
    </row>
    <row r="158" spans="1:8" ht="15" customHeight="1" x14ac:dyDescent="0.3">
      <c r="A158" s="53"/>
      <c r="B158" s="112" t="s">
        <v>84</v>
      </c>
      <c r="C158" s="99"/>
      <c r="D158" s="73">
        <f t="shared" si="12"/>
        <v>-390</v>
      </c>
      <c r="E158" s="73">
        <v>11069</v>
      </c>
      <c r="F158" s="73"/>
      <c r="G158" s="73"/>
      <c r="H158" s="125">
        <f>'4.pielikums'!B264</f>
        <v>10679</v>
      </c>
    </row>
    <row r="159" spans="1:8" s="59" customFormat="1" ht="30" customHeight="1" x14ac:dyDescent="0.3">
      <c r="A159" s="63"/>
      <c r="B159" s="75" t="s">
        <v>578</v>
      </c>
      <c r="C159" s="99"/>
      <c r="D159" s="73">
        <f t="shared" si="12"/>
        <v>-320</v>
      </c>
      <c r="E159" s="73">
        <v>3455</v>
      </c>
      <c r="F159" s="73"/>
      <c r="G159" s="73"/>
      <c r="H159" s="125">
        <f>'4.pielikums'!B266</f>
        <v>3135</v>
      </c>
    </row>
    <row r="160" spans="1:8" ht="30" customHeight="1" x14ac:dyDescent="0.3">
      <c r="A160" s="53"/>
      <c r="B160" s="75" t="s">
        <v>579</v>
      </c>
      <c r="C160" s="99"/>
      <c r="D160" s="73">
        <f t="shared" si="12"/>
        <v>581</v>
      </c>
      <c r="E160" s="73">
        <v>6255</v>
      </c>
      <c r="F160" s="73"/>
      <c r="G160" s="73"/>
      <c r="H160" s="125">
        <f>'4.pielikums'!B268</f>
        <v>6836</v>
      </c>
    </row>
    <row r="161" spans="1:8" ht="15" customHeight="1" x14ac:dyDescent="0.3">
      <c r="A161" s="53"/>
      <c r="B161" s="75" t="s">
        <v>589</v>
      </c>
      <c r="C161" s="99"/>
      <c r="D161" s="73">
        <f t="shared" si="12"/>
        <v>-635</v>
      </c>
      <c r="E161" s="73">
        <v>4300</v>
      </c>
      <c r="F161" s="73"/>
      <c r="G161" s="73"/>
      <c r="H161" s="125">
        <f>'4.pielikums'!B270</f>
        <v>3665</v>
      </c>
    </row>
    <row r="162" spans="1:8" ht="15" customHeight="1" x14ac:dyDescent="0.3">
      <c r="A162" s="53"/>
      <c r="B162" s="112" t="s">
        <v>85</v>
      </c>
      <c r="C162" s="99"/>
      <c r="D162" s="73">
        <f t="shared" si="12"/>
        <v>-1000</v>
      </c>
      <c r="E162" s="73">
        <v>12100</v>
      </c>
      <c r="F162" s="73"/>
      <c r="G162" s="73"/>
      <c r="H162" s="125">
        <f>'4.pielikums'!B272</f>
        <v>11100</v>
      </c>
    </row>
    <row r="163" spans="1:8" ht="15" customHeight="1" x14ac:dyDescent="0.3">
      <c r="A163" s="53"/>
      <c r="B163" s="75" t="s">
        <v>581</v>
      </c>
      <c r="C163" s="99"/>
      <c r="D163" s="73">
        <f t="shared" si="12"/>
        <v>-396</v>
      </c>
      <c r="E163" s="73">
        <v>4175</v>
      </c>
      <c r="F163" s="73"/>
      <c r="G163" s="73"/>
      <c r="H163" s="125">
        <f>'4.pielikums'!B274</f>
        <v>3779</v>
      </c>
    </row>
    <row r="164" spans="1:8" ht="15" customHeight="1" x14ac:dyDescent="0.3">
      <c r="A164" s="53"/>
      <c r="B164" s="75" t="s">
        <v>582</v>
      </c>
      <c r="C164" s="99"/>
      <c r="D164" s="73">
        <f t="shared" si="12"/>
        <v>4633</v>
      </c>
      <c r="E164" s="73">
        <v>9890</v>
      </c>
      <c r="F164" s="73"/>
      <c r="G164" s="73"/>
      <c r="H164" s="125">
        <f>'4.pielikums'!B276</f>
        <v>14523</v>
      </c>
    </row>
    <row r="165" spans="1:8" s="59" customFormat="1" ht="15" customHeight="1" x14ac:dyDescent="0.3">
      <c r="A165" s="63"/>
      <c r="B165" s="75" t="s">
        <v>584</v>
      </c>
      <c r="C165" s="99"/>
      <c r="D165" s="73">
        <f t="shared" si="12"/>
        <v>550</v>
      </c>
      <c r="E165" s="73">
        <v>4620</v>
      </c>
      <c r="F165" s="73"/>
      <c r="G165" s="73"/>
      <c r="H165" s="125">
        <f>'4.pielikums'!B280</f>
        <v>5170</v>
      </c>
    </row>
    <row r="166" spans="1:8" ht="15" customHeight="1" x14ac:dyDescent="0.3">
      <c r="A166" s="53"/>
      <c r="B166" s="75" t="s">
        <v>591</v>
      </c>
      <c r="C166" s="99"/>
      <c r="D166" s="73">
        <f t="shared" si="12"/>
        <v>-544</v>
      </c>
      <c r="E166" s="73">
        <v>3785</v>
      </c>
      <c r="F166" s="73"/>
      <c r="G166" s="73"/>
      <c r="H166" s="125">
        <f>'4.pielikums'!B278</f>
        <v>3241</v>
      </c>
    </row>
    <row r="167" spans="1:8" ht="15" customHeight="1" x14ac:dyDescent="0.3">
      <c r="A167" s="53"/>
      <c r="B167" s="75" t="s">
        <v>585</v>
      </c>
      <c r="C167" s="99"/>
      <c r="D167" s="73">
        <f t="shared" ref="D167:D178" si="13">H167-E167-G167-F167-C167</f>
        <v>-583</v>
      </c>
      <c r="E167" s="73">
        <v>4225</v>
      </c>
      <c r="F167" s="73"/>
      <c r="G167" s="73"/>
      <c r="H167" s="125">
        <f>'4.pielikums'!B282</f>
        <v>3642</v>
      </c>
    </row>
    <row r="168" spans="1:8" ht="30" customHeight="1" x14ac:dyDescent="0.3">
      <c r="A168" s="53"/>
      <c r="B168" s="75" t="s">
        <v>590</v>
      </c>
      <c r="C168" s="99"/>
      <c r="D168" s="73">
        <f t="shared" si="13"/>
        <v>-532</v>
      </c>
      <c r="E168" s="73">
        <v>20100</v>
      </c>
      <c r="F168" s="73"/>
      <c r="G168" s="73"/>
      <c r="H168" s="125">
        <f>'4.pielikums'!B284</f>
        <v>19568</v>
      </c>
    </row>
    <row r="169" spans="1:8" ht="30" customHeight="1" x14ac:dyDescent="0.3">
      <c r="A169" s="53"/>
      <c r="B169" s="75" t="s">
        <v>623</v>
      </c>
      <c r="C169" s="99"/>
      <c r="D169" s="73">
        <f t="shared" si="13"/>
        <v>2035</v>
      </c>
      <c r="E169" s="73">
        <v>3915</v>
      </c>
      <c r="F169" s="73"/>
      <c r="G169" s="73"/>
      <c r="H169" s="125">
        <f>'4.pielikums'!B286</f>
        <v>5950</v>
      </c>
    </row>
    <row r="170" spans="1:8" ht="15" customHeight="1" x14ac:dyDescent="0.3">
      <c r="A170" s="53"/>
      <c r="B170" s="75" t="s">
        <v>624</v>
      </c>
      <c r="C170" s="99"/>
      <c r="D170" s="73">
        <f t="shared" si="13"/>
        <v>2543</v>
      </c>
      <c r="E170" s="73">
        <v>11455</v>
      </c>
      <c r="F170" s="73"/>
      <c r="G170" s="73"/>
      <c r="H170" s="125">
        <f>'4.pielikums'!B288</f>
        <v>13998</v>
      </c>
    </row>
    <row r="171" spans="1:8" ht="30" customHeight="1" x14ac:dyDescent="0.3">
      <c r="A171" s="53"/>
      <c r="B171" s="76" t="s">
        <v>487</v>
      </c>
      <c r="C171" s="99"/>
      <c r="D171" s="73">
        <f t="shared" si="13"/>
        <v>0</v>
      </c>
      <c r="E171" s="73"/>
      <c r="F171" s="73">
        <v>15800</v>
      </c>
      <c r="G171" s="73"/>
      <c r="H171" s="125">
        <f>'4.pielikums'!B518</f>
        <v>15800</v>
      </c>
    </row>
    <row r="172" spans="1:8" ht="30" customHeight="1" x14ac:dyDescent="0.3">
      <c r="A172" s="53"/>
      <c r="B172" s="135" t="s">
        <v>509</v>
      </c>
      <c r="C172" s="99"/>
      <c r="D172" s="73">
        <f t="shared" si="13"/>
        <v>60000</v>
      </c>
      <c r="E172" s="73"/>
      <c r="F172" s="73"/>
      <c r="G172" s="73"/>
      <c r="H172" s="125">
        <f>'4.pielikums'!B524</f>
        <v>60000</v>
      </c>
    </row>
    <row r="173" spans="1:8" s="59" customFormat="1" ht="15" customHeight="1" x14ac:dyDescent="0.3">
      <c r="A173" s="63"/>
      <c r="B173" s="135" t="s">
        <v>108</v>
      </c>
      <c r="C173" s="99"/>
      <c r="D173" s="73">
        <f t="shared" si="13"/>
        <v>90711</v>
      </c>
      <c r="E173" s="73"/>
      <c r="F173" s="73"/>
      <c r="G173" s="73"/>
      <c r="H173" s="125">
        <f>'4.pielikums'!B520</f>
        <v>90711</v>
      </c>
    </row>
    <row r="174" spans="1:8" s="59" customFormat="1" ht="20.25" customHeight="1" x14ac:dyDescent="0.3">
      <c r="A174" s="63"/>
      <c r="B174" s="135" t="s">
        <v>609</v>
      </c>
      <c r="C174" s="99"/>
      <c r="D174" s="73">
        <f t="shared" si="13"/>
        <v>129954</v>
      </c>
      <c r="E174" s="73"/>
      <c r="F174" s="73"/>
      <c r="G174" s="73"/>
      <c r="H174" s="125">
        <f>'4.pielikums'!B522</f>
        <v>129954</v>
      </c>
    </row>
    <row r="175" spans="1:8" s="59" customFormat="1" ht="48.75" customHeight="1" x14ac:dyDescent="0.3">
      <c r="A175" s="63"/>
      <c r="B175" s="135" t="s">
        <v>610</v>
      </c>
      <c r="C175" s="99">
        <v>42633</v>
      </c>
      <c r="D175" s="73">
        <f t="shared" si="13"/>
        <v>42890</v>
      </c>
      <c r="E175" s="73"/>
      <c r="F175" s="73">
        <v>0</v>
      </c>
      <c r="G175" s="73">
        <v>312839</v>
      </c>
      <c r="H175" s="125">
        <f>'4.pielikums'!B552</f>
        <v>398362</v>
      </c>
    </row>
    <row r="176" spans="1:8" s="59" customFormat="1" ht="28.5" customHeight="1" x14ac:dyDescent="0.3">
      <c r="A176" s="63"/>
      <c r="B176" s="135" t="s">
        <v>692</v>
      </c>
      <c r="C176" s="99"/>
      <c r="D176" s="73">
        <f t="shared" si="13"/>
        <v>0</v>
      </c>
      <c r="E176" s="73"/>
      <c r="F176" s="73">
        <v>100000</v>
      </c>
      <c r="G176" s="73"/>
      <c r="H176" s="125">
        <f>'4.pielikums'!B544</f>
        <v>100000</v>
      </c>
    </row>
    <row r="177" spans="1:8" s="59" customFormat="1" ht="34.5" customHeight="1" x14ac:dyDescent="0.3">
      <c r="A177" s="63"/>
      <c r="B177" s="135" t="s">
        <v>691</v>
      </c>
      <c r="C177" s="99">
        <v>22500</v>
      </c>
      <c r="D177" s="73">
        <f t="shared" si="13"/>
        <v>0</v>
      </c>
      <c r="E177" s="73"/>
      <c r="F177" s="73">
        <v>0</v>
      </c>
      <c r="G177" s="73">
        <v>109615</v>
      </c>
      <c r="H177" s="125">
        <f>'4.pielikums'!B550</f>
        <v>132115</v>
      </c>
    </row>
    <row r="178" spans="1:8" s="59" customFormat="1" ht="34.5" customHeight="1" x14ac:dyDescent="0.3">
      <c r="A178" s="63"/>
      <c r="B178" s="135" t="s">
        <v>730</v>
      </c>
      <c r="C178" s="99"/>
      <c r="D178" s="73">
        <f t="shared" si="13"/>
        <v>0</v>
      </c>
      <c r="E178" s="73"/>
      <c r="F178" s="73">
        <v>175235</v>
      </c>
      <c r="G178" s="73">
        <v>53830</v>
      </c>
      <c r="H178" s="125">
        <f>'4.pielikums'!B578</f>
        <v>229065</v>
      </c>
    </row>
    <row r="179" spans="1:8" ht="15" customHeight="1" x14ac:dyDescent="0.3">
      <c r="A179" s="19" t="s">
        <v>184</v>
      </c>
      <c r="B179" s="126" t="s">
        <v>185</v>
      </c>
      <c r="C179" s="72">
        <f>SUM(C180:C189)</f>
        <v>3485</v>
      </c>
      <c r="D179" s="72">
        <f>SUM(D180:D189)</f>
        <v>0</v>
      </c>
      <c r="E179" s="72">
        <f>SUM(E180:E189)</f>
        <v>290</v>
      </c>
      <c r="F179" s="72">
        <f>SUM(F180:F189)</f>
        <v>275277</v>
      </c>
      <c r="G179" s="72">
        <f t="shared" ref="G179" si="14">SUM(G180:G188)</f>
        <v>0</v>
      </c>
      <c r="H179" s="125">
        <f>SUM(H180:H189)</f>
        <v>279052</v>
      </c>
    </row>
    <row r="180" spans="1:8" ht="15" customHeight="1" x14ac:dyDescent="0.3">
      <c r="A180" s="53"/>
      <c r="B180" s="68" t="s">
        <v>186</v>
      </c>
      <c r="C180" s="99"/>
      <c r="D180" s="73">
        <f t="shared" ref="D180:D189" si="15">H180-E180-G180-F180-C180</f>
        <v>0</v>
      </c>
      <c r="E180" s="73">
        <v>80</v>
      </c>
      <c r="F180" s="73">
        <v>15093</v>
      </c>
      <c r="G180" s="73"/>
      <c r="H180" s="125">
        <f>'4.pielikums'!B290</f>
        <v>15173</v>
      </c>
    </row>
    <row r="181" spans="1:8" ht="15" customHeight="1" x14ac:dyDescent="0.3">
      <c r="A181" s="53"/>
      <c r="B181" s="68" t="s">
        <v>187</v>
      </c>
      <c r="C181" s="99"/>
      <c r="D181" s="73">
        <f t="shared" si="15"/>
        <v>0</v>
      </c>
      <c r="E181" s="73">
        <v>30</v>
      </c>
      <c r="F181" s="73">
        <v>15093</v>
      </c>
      <c r="G181" s="73"/>
      <c r="H181" s="125">
        <f>'4.pielikums'!B292</f>
        <v>15123</v>
      </c>
    </row>
    <row r="182" spans="1:8" ht="15" customHeight="1" x14ac:dyDescent="0.3">
      <c r="A182" s="53"/>
      <c r="B182" s="68" t="s">
        <v>188</v>
      </c>
      <c r="C182" s="99"/>
      <c r="D182" s="73">
        <f t="shared" si="15"/>
        <v>0</v>
      </c>
      <c r="E182" s="73">
        <v>30</v>
      </c>
      <c r="F182" s="73">
        <v>15093</v>
      </c>
      <c r="G182" s="73"/>
      <c r="H182" s="125">
        <f>'4.pielikums'!B294</f>
        <v>15123</v>
      </c>
    </row>
    <row r="183" spans="1:8" ht="15" customHeight="1" x14ac:dyDescent="0.3">
      <c r="A183" s="53"/>
      <c r="B183" s="68" t="s">
        <v>626</v>
      </c>
      <c r="C183" s="99"/>
      <c r="D183" s="73">
        <f t="shared" si="15"/>
        <v>0</v>
      </c>
      <c r="E183" s="73">
        <v>30</v>
      </c>
      <c r="F183" s="73">
        <v>15093</v>
      </c>
      <c r="G183" s="73"/>
      <c r="H183" s="125">
        <f>'4.pielikums'!B296</f>
        <v>15123</v>
      </c>
    </row>
    <row r="184" spans="1:8" ht="15" customHeight="1" x14ac:dyDescent="0.3">
      <c r="A184" s="53"/>
      <c r="B184" s="68" t="s">
        <v>189</v>
      </c>
      <c r="C184" s="99"/>
      <c r="D184" s="73">
        <f t="shared" si="15"/>
        <v>0</v>
      </c>
      <c r="E184" s="73">
        <v>30</v>
      </c>
      <c r="F184" s="73">
        <v>15093</v>
      </c>
      <c r="G184" s="73"/>
      <c r="H184" s="125">
        <f>'4.pielikums'!B298</f>
        <v>15123</v>
      </c>
    </row>
    <row r="185" spans="1:8" ht="15" customHeight="1" x14ac:dyDescent="0.3">
      <c r="A185" s="53"/>
      <c r="B185" s="75" t="s">
        <v>625</v>
      </c>
      <c r="C185" s="99"/>
      <c r="D185" s="73">
        <f t="shared" si="15"/>
        <v>0</v>
      </c>
      <c r="E185" s="73">
        <v>30</v>
      </c>
      <c r="F185" s="73">
        <v>15093</v>
      </c>
      <c r="G185" s="73"/>
      <c r="H185" s="125">
        <f>'4.pielikums'!B302</f>
        <v>15123</v>
      </c>
    </row>
    <row r="186" spans="1:8" ht="15" customHeight="1" x14ac:dyDescent="0.3">
      <c r="A186" s="53"/>
      <c r="B186" s="68" t="s">
        <v>190</v>
      </c>
      <c r="C186" s="99"/>
      <c r="D186" s="73">
        <f t="shared" si="15"/>
        <v>0</v>
      </c>
      <c r="E186" s="73">
        <v>30</v>
      </c>
      <c r="F186" s="73">
        <v>15093</v>
      </c>
      <c r="G186" s="73"/>
      <c r="H186" s="125">
        <f>'4.pielikums'!B302</f>
        <v>15123</v>
      </c>
    </row>
    <row r="187" spans="1:8" ht="15" customHeight="1" x14ac:dyDescent="0.3">
      <c r="A187" s="53"/>
      <c r="B187" s="68" t="s">
        <v>191</v>
      </c>
      <c r="C187" s="99"/>
      <c r="D187" s="73">
        <f t="shared" si="15"/>
        <v>0</v>
      </c>
      <c r="E187" s="73">
        <v>30</v>
      </c>
      <c r="F187" s="73">
        <v>15093</v>
      </c>
      <c r="G187" s="73"/>
      <c r="H187" s="125">
        <f>'4.pielikums'!B304</f>
        <v>15123</v>
      </c>
    </row>
    <row r="188" spans="1:8" ht="15" customHeight="1" x14ac:dyDescent="0.3">
      <c r="A188" s="53"/>
      <c r="B188" s="92" t="s">
        <v>192</v>
      </c>
      <c r="C188" s="99"/>
      <c r="D188" s="73">
        <f t="shared" si="15"/>
        <v>0</v>
      </c>
      <c r="E188" s="73"/>
      <c r="F188" s="73">
        <v>30533</v>
      </c>
      <c r="G188" s="73"/>
      <c r="H188" s="125">
        <f>'4.pielikums'!B306</f>
        <v>30533</v>
      </c>
    </row>
    <row r="189" spans="1:8" ht="15" customHeight="1" x14ac:dyDescent="0.3">
      <c r="A189" s="53"/>
      <c r="B189" s="92" t="s">
        <v>618</v>
      </c>
      <c r="C189" s="99">
        <v>3485</v>
      </c>
      <c r="D189" s="73">
        <f t="shared" si="15"/>
        <v>0</v>
      </c>
      <c r="E189" s="73"/>
      <c r="F189" s="73">
        <v>124000</v>
      </c>
      <c r="G189" s="73"/>
      <c r="H189" s="125">
        <f>'4.pielikums'!B314</f>
        <v>127485</v>
      </c>
    </row>
    <row r="190" spans="1:8" ht="15" customHeight="1" x14ac:dyDescent="0.3">
      <c r="A190" s="19" t="s">
        <v>193</v>
      </c>
      <c r="B190" s="70" t="s">
        <v>456</v>
      </c>
      <c r="C190" s="72"/>
      <c r="D190" s="72">
        <f>D191+D196+D199+D203+D224</f>
        <v>2373228</v>
      </c>
      <c r="E190" s="72">
        <f>E191+E196+E199+E203+E224</f>
        <v>158720</v>
      </c>
      <c r="F190" s="72">
        <f>F191+F196+F199+F203+F224</f>
        <v>123287</v>
      </c>
      <c r="G190" s="72">
        <f>G191+G196+G199+G203+G224</f>
        <v>0</v>
      </c>
      <c r="H190" s="125">
        <f>H191+H196+H199+H203+H224</f>
        <v>2655235</v>
      </c>
    </row>
    <row r="191" spans="1:8" ht="15" customHeight="1" x14ac:dyDescent="0.3">
      <c r="A191" s="19"/>
      <c r="B191" s="70" t="s">
        <v>194</v>
      </c>
      <c r="C191" s="72">
        <f t="shared" ref="C191:G191" si="16">SUM(C192:C194)</f>
        <v>0</v>
      </c>
      <c r="D191" s="72">
        <f t="shared" si="16"/>
        <v>153109</v>
      </c>
      <c r="E191" s="72">
        <f t="shared" si="16"/>
        <v>2780</v>
      </c>
      <c r="F191" s="72">
        <f t="shared" si="16"/>
        <v>0</v>
      </c>
      <c r="G191" s="72">
        <f t="shared" si="16"/>
        <v>0</v>
      </c>
      <c r="H191" s="125">
        <f>SUM(H192:H194)</f>
        <v>155889</v>
      </c>
    </row>
    <row r="192" spans="1:8" ht="15" customHeight="1" x14ac:dyDescent="0.3">
      <c r="A192" s="53"/>
      <c r="B192" s="69" t="s">
        <v>102</v>
      </c>
      <c r="C192" s="89"/>
      <c r="D192" s="73">
        <f>H192-E192-G192-F192-C192</f>
        <v>86306</v>
      </c>
      <c r="E192" s="73"/>
      <c r="F192" s="73"/>
      <c r="G192" s="73"/>
      <c r="H192" s="125">
        <f>'4.pielikums'!B308</f>
        <v>86306</v>
      </c>
    </row>
    <row r="193" spans="1:8" ht="15" customHeight="1" x14ac:dyDescent="0.3">
      <c r="A193" s="53"/>
      <c r="B193" s="68" t="s">
        <v>130</v>
      </c>
      <c r="C193" s="99"/>
      <c r="D193" s="73">
        <f>H193-E193-G193-F193-C193</f>
        <v>31012</v>
      </c>
      <c r="E193" s="73">
        <v>1780</v>
      </c>
      <c r="F193" s="73"/>
      <c r="G193" s="73"/>
      <c r="H193" s="125">
        <f>'4.pielikums'!B310</f>
        <v>32792</v>
      </c>
    </row>
    <row r="194" spans="1:8" ht="15" customHeight="1" x14ac:dyDescent="0.3">
      <c r="A194" s="53"/>
      <c r="B194" s="68" t="s">
        <v>150</v>
      </c>
      <c r="C194" s="99"/>
      <c r="D194" s="73">
        <f>H194-E194-G194-F194-C194</f>
        <v>35791</v>
      </c>
      <c r="E194" s="73">
        <v>1000</v>
      </c>
      <c r="F194" s="73"/>
      <c r="G194" s="73"/>
      <c r="H194" s="125">
        <f>'4.pielikums'!B312</f>
        <v>36791</v>
      </c>
    </row>
    <row r="195" spans="1:8" ht="15" customHeight="1" x14ac:dyDescent="0.3">
      <c r="A195" s="19"/>
      <c r="B195" s="70" t="s">
        <v>195</v>
      </c>
      <c r="C195" s="138"/>
      <c r="D195" s="73"/>
      <c r="E195" s="72"/>
      <c r="F195" s="72"/>
      <c r="G195" s="72"/>
      <c r="H195" s="125"/>
    </row>
    <row r="196" spans="1:8" ht="15" customHeight="1" x14ac:dyDescent="0.3">
      <c r="A196" s="19"/>
      <c r="B196" s="70" t="s">
        <v>196</v>
      </c>
      <c r="C196" s="72">
        <f>SUM(C197:C197)</f>
        <v>0</v>
      </c>
      <c r="D196" s="72">
        <f>SUM(D197:D198)</f>
        <v>554381</v>
      </c>
      <c r="E196" s="72">
        <f>SUM(E197:E198)</f>
        <v>19700</v>
      </c>
      <c r="F196" s="72">
        <f>SUM(F197:F198)</f>
        <v>18531</v>
      </c>
      <c r="G196" s="72">
        <f>SUM(G197:G197)</f>
        <v>0</v>
      </c>
      <c r="H196" s="125">
        <f>SUM(H197:H198)</f>
        <v>592612</v>
      </c>
    </row>
    <row r="197" spans="1:8" ht="15" customHeight="1" x14ac:dyDescent="0.3">
      <c r="A197" s="53"/>
      <c r="B197" s="69" t="s">
        <v>19</v>
      </c>
      <c r="C197" s="89"/>
      <c r="D197" s="73">
        <f>H197-E197-G197-F197-C197</f>
        <v>522987</v>
      </c>
      <c r="E197" s="73">
        <v>3000</v>
      </c>
      <c r="F197" s="73">
        <v>18531</v>
      </c>
      <c r="G197" s="73"/>
      <c r="H197" s="125">
        <f>'4.pielikums'!B316</f>
        <v>544518</v>
      </c>
    </row>
    <row r="198" spans="1:8" ht="15" customHeight="1" x14ac:dyDescent="0.3">
      <c r="A198" s="53"/>
      <c r="B198" s="69" t="s">
        <v>551</v>
      </c>
      <c r="C198" s="89"/>
      <c r="D198" s="73">
        <f>H198-E198-G198-F198-C198</f>
        <v>31394</v>
      </c>
      <c r="E198" s="73">
        <v>16700</v>
      </c>
      <c r="F198" s="73"/>
      <c r="G198" s="73"/>
      <c r="H198" s="125">
        <f>'4.pielikums'!B318</f>
        <v>48094</v>
      </c>
    </row>
    <row r="199" spans="1:8" ht="15" customHeight="1" x14ac:dyDescent="0.3">
      <c r="A199" s="19"/>
      <c r="B199" s="70" t="s">
        <v>197</v>
      </c>
      <c r="C199" s="72">
        <f t="shared" ref="C199:G199" si="17">SUM(C200:C202)</f>
        <v>0</v>
      </c>
      <c r="D199" s="72">
        <f t="shared" si="17"/>
        <v>251120</v>
      </c>
      <c r="E199" s="72">
        <f t="shared" si="17"/>
        <v>12335</v>
      </c>
      <c r="F199" s="72">
        <f t="shared" si="17"/>
        <v>0</v>
      </c>
      <c r="G199" s="72">
        <f t="shared" si="17"/>
        <v>0</v>
      </c>
      <c r="H199" s="125">
        <f>SUM(H200:H202)</f>
        <v>263455</v>
      </c>
    </row>
    <row r="200" spans="1:8" ht="15" customHeight="1" x14ac:dyDescent="0.3">
      <c r="A200" s="53"/>
      <c r="B200" s="69" t="s">
        <v>198</v>
      </c>
      <c r="C200" s="89"/>
      <c r="D200" s="73">
        <f>H200-E200-G200-F200-C200</f>
        <v>142891</v>
      </c>
      <c r="E200" s="73">
        <v>10300</v>
      </c>
      <c r="F200" s="73"/>
      <c r="G200" s="73"/>
      <c r="H200" s="125">
        <f>'4.pielikums'!B320</f>
        <v>153191</v>
      </c>
    </row>
    <row r="201" spans="1:8" ht="15" customHeight="1" x14ac:dyDescent="0.3">
      <c r="A201" s="53"/>
      <c r="B201" s="69" t="s">
        <v>87</v>
      </c>
      <c r="C201" s="89"/>
      <c r="D201" s="73">
        <f>H201-E201-G201-F201-C201</f>
        <v>63314</v>
      </c>
      <c r="E201" s="73">
        <v>660</v>
      </c>
      <c r="F201" s="73"/>
      <c r="G201" s="73"/>
      <c r="H201" s="125">
        <f>'4.pielikums'!B322</f>
        <v>63974</v>
      </c>
    </row>
    <row r="202" spans="1:8" ht="15" customHeight="1" x14ac:dyDescent="0.3">
      <c r="A202" s="53"/>
      <c r="B202" s="75" t="s">
        <v>73</v>
      </c>
      <c r="C202" s="99"/>
      <c r="D202" s="73">
        <f>H202-E202-G202-F202-C202</f>
        <v>44915</v>
      </c>
      <c r="E202" s="73">
        <v>1375</v>
      </c>
      <c r="F202" s="73"/>
      <c r="G202" s="73"/>
      <c r="H202" s="125">
        <f>'4.pielikums'!B324</f>
        <v>46290</v>
      </c>
    </row>
    <row r="203" spans="1:8" ht="15" customHeight="1" x14ac:dyDescent="0.3">
      <c r="A203" s="19"/>
      <c r="B203" s="70" t="s">
        <v>199</v>
      </c>
      <c r="C203" s="72">
        <f t="shared" ref="C203:G203" si="18">SUM(C204:C223)</f>
        <v>0</v>
      </c>
      <c r="D203" s="72">
        <f t="shared" si="18"/>
        <v>1194077</v>
      </c>
      <c r="E203" s="72">
        <f t="shared" si="18"/>
        <v>97082</v>
      </c>
      <c r="F203" s="72">
        <f t="shared" si="18"/>
        <v>68526</v>
      </c>
      <c r="G203" s="72">
        <f t="shared" si="18"/>
        <v>0</v>
      </c>
      <c r="H203" s="125">
        <f>SUM(H204:H223)</f>
        <v>1359685</v>
      </c>
    </row>
    <row r="204" spans="1:8" ht="24" customHeight="1" x14ac:dyDescent="0.3">
      <c r="A204" s="53"/>
      <c r="B204" s="69" t="s">
        <v>57</v>
      </c>
      <c r="C204" s="89"/>
      <c r="D204" s="73">
        <f t="shared" ref="D204:D223" si="19">H204-E204-G204-F204-C204</f>
        <v>602388</v>
      </c>
      <c r="E204" s="73">
        <v>9226</v>
      </c>
      <c r="F204" s="73">
        <v>40608</v>
      </c>
      <c r="G204" s="73"/>
      <c r="H204" s="125">
        <f>'4.pielikums'!B326</f>
        <v>652222</v>
      </c>
    </row>
    <row r="205" spans="1:8" ht="30" customHeight="1" x14ac:dyDescent="0.3">
      <c r="A205" s="53"/>
      <c r="B205" s="68" t="s">
        <v>203</v>
      </c>
      <c r="C205" s="99"/>
      <c r="D205" s="73">
        <f t="shared" si="19"/>
        <v>33674</v>
      </c>
      <c r="E205" s="73">
        <v>26790</v>
      </c>
      <c r="F205" s="73"/>
      <c r="G205" s="73"/>
      <c r="H205" s="125">
        <f>'4.pielikums'!B328</f>
        <v>60464</v>
      </c>
    </row>
    <row r="206" spans="1:8" ht="15" customHeight="1" x14ac:dyDescent="0.3">
      <c r="A206" s="53"/>
      <c r="B206" s="68" t="s">
        <v>88</v>
      </c>
      <c r="C206" s="99"/>
      <c r="D206" s="73">
        <f t="shared" si="19"/>
        <v>8132</v>
      </c>
      <c r="E206" s="73">
        <v>2820</v>
      </c>
      <c r="F206" s="73"/>
      <c r="G206" s="73"/>
      <c r="H206" s="125">
        <f>'4.pielikums'!B330</f>
        <v>10952</v>
      </c>
    </row>
    <row r="207" spans="1:8" ht="15" customHeight="1" x14ac:dyDescent="0.3">
      <c r="A207" s="53"/>
      <c r="B207" s="69" t="s">
        <v>124</v>
      </c>
      <c r="C207" s="89"/>
      <c r="D207" s="73">
        <f t="shared" si="19"/>
        <v>7934</v>
      </c>
      <c r="E207" s="73">
        <v>6450</v>
      </c>
      <c r="F207" s="73"/>
      <c r="G207" s="73"/>
      <c r="H207" s="125">
        <f>'4.pielikums'!B332</f>
        <v>14384</v>
      </c>
    </row>
    <row r="208" spans="1:8" ht="15" customHeight="1" x14ac:dyDescent="0.3">
      <c r="A208" s="53"/>
      <c r="B208" s="68" t="s">
        <v>200</v>
      </c>
      <c r="C208" s="99"/>
      <c r="D208" s="73">
        <f t="shared" si="19"/>
        <v>9127</v>
      </c>
      <c r="E208" s="73">
        <v>850</v>
      </c>
      <c r="F208" s="73"/>
      <c r="G208" s="73"/>
      <c r="H208" s="125">
        <f>'4.pielikums'!B334</f>
        <v>9977</v>
      </c>
    </row>
    <row r="209" spans="1:8" ht="15" customHeight="1" x14ac:dyDescent="0.3">
      <c r="A209" s="53"/>
      <c r="B209" s="69" t="s">
        <v>22</v>
      </c>
      <c r="C209" s="89"/>
      <c r="D209" s="73">
        <f t="shared" si="19"/>
        <v>4272</v>
      </c>
      <c r="E209" s="73">
        <v>720</v>
      </c>
      <c r="F209" s="73"/>
      <c r="G209" s="73"/>
      <c r="H209" s="125">
        <f>'4.pielikums'!B336</f>
        <v>4992</v>
      </c>
    </row>
    <row r="210" spans="1:8" ht="15" customHeight="1" x14ac:dyDescent="0.3">
      <c r="A210" s="53"/>
      <c r="B210" s="69" t="s">
        <v>23</v>
      </c>
      <c r="C210" s="89"/>
      <c r="D210" s="73">
        <f t="shared" si="19"/>
        <v>18090</v>
      </c>
      <c r="E210" s="73">
        <v>5750</v>
      </c>
      <c r="F210" s="73"/>
      <c r="G210" s="73"/>
      <c r="H210" s="125">
        <f>'4.pielikums'!B338</f>
        <v>23840</v>
      </c>
    </row>
    <row r="211" spans="1:8" ht="15" customHeight="1" x14ac:dyDescent="0.3">
      <c r="A211" s="53"/>
      <c r="B211" s="68" t="s">
        <v>72</v>
      </c>
      <c r="C211" s="99"/>
      <c r="D211" s="73">
        <f t="shared" si="19"/>
        <v>9957</v>
      </c>
      <c r="E211" s="73">
        <v>6310</v>
      </c>
      <c r="F211" s="73"/>
      <c r="G211" s="73"/>
      <c r="H211" s="125">
        <f>'4.pielikums'!B340</f>
        <v>16267</v>
      </c>
    </row>
    <row r="212" spans="1:8" ht="15" customHeight="1" x14ac:dyDescent="0.3">
      <c r="A212" s="53"/>
      <c r="B212" s="69" t="s">
        <v>201</v>
      </c>
      <c r="C212" s="89"/>
      <c r="D212" s="73">
        <f t="shared" si="19"/>
        <v>2110</v>
      </c>
      <c r="E212" s="73">
        <v>0</v>
      </c>
      <c r="F212" s="73"/>
      <c r="G212" s="73"/>
      <c r="H212" s="125">
        <f>'4.pielikums'!B342</f>
        <v>2110</v>
      </c>
    </row>
    <row r="213" spans="1:8" ht="15" customHeight="1" x14ac:dyDescent="0.3">
      <c r="A213" s="53"/>
      <c r="B213" s="75" t="s">
        <v>91</v>
      </c>
      <c r="C213" s="99"/>
      <c r="D213" s="73">
        <f t="shared" si="19"/>
        <v>8661</v>
      </c>
      <c r="E213" s="73">
        <v>3090</v>
      </c>
      <c r="F213" s="73"/>
      <c r="G213" s="73"/>
      <c r="H213" s="125">
        <f>'4.pielikums'!B344</f>
        <v>11751</v>
      </c>
    </row>
    <row r="214" spans="1:8" ht="15" customHeight="1" x14ac:dyDescent="0.3">
      <c r="A214" s="53"/>
      <c r="B214" s="69" t="s">
        <v>129</v>
      </c>
      <c r="C214" s="89"/>
      <c r="D214" s="73">
        <f t="shared" si="19"/>
        <v>5652</v>
      </c>
      <c r="E214" s="73">
        <v>740</v>
      </c>
      <c r="F214" s="73"/>
      <c r="G214" s="73"/>
      <c r="H214" s="125">
        <f>'4.pielikums'!B346</f>
        <v>6392</v>
      </c>
    </row>
    <row r="215" spans="1:8" ht="15" customHeight="1" x14ac:dyDescent="0.3">
      <c r="A215" s="53"/>
      <c r="B215" s="69" t="s">
        <v>121</v>
      </c>
      <c r="C215" s="89"/>
      <c r="D215" s="73">
        <f t="shared" si="19"/>
        <v>2632</v>
      </c>
      <c r="E215" s="73">
        <v>150</v>
      </c>
      <c r="F215" s="73"/>
      <c r="G215" s="73"/>
      <c r="H215" s="125">
        <f>'4.pielikums'!B348</f>
        <v>2782</v>
      </c>
    </row>
    <row r="216" spans="1:8" ht="15" customHeight="1" x14ac:dyDescent="0.3">
      <c r="A216" s="53"/>
      <c r="B216" s="68" t="s">
        <v>115</v>
      </c>
      <c r="C216" s="99"/>
      <c r="D216" s="73">
        <f t="shared" si="19"/>
        <v>10480</v>
      </c>
      <c r="E216" s="73">
        <v>4100</v>
      </c>
      <c r="F216" s="73"/>
      <c r="G216" s="73"/>
      <c r="H216" s="125">
        <f>'4.pielikums'!B350</f>
        <v>14580</v>
      </c>
    </row>
    <row r="217" spans="1:8" ht="15" customHeight="1" x14ac:dyDescent="0.3">
      <c r="A217" s="53"/>
      <c r="B217" s="69" t="s">
        <v>139</v>
      </c>
      <c r="C217" s="89"/>
      <c r="D217" s="73">
        <f t="shared" si="19"/>
        <v>6178</v>
      </c>
      <c r="E217" s="73">
        <v>2130</v>
      </c>
      <c r="F217" s="73"/>
      <c r="G217" s="73"/>
      <c r="H217" s="125">
        <f>'4.pielikums'!B352</f>
        <v>8308</v>
      </c>
    </row>
    <row r="218" spans="1:8" ht="15" customHeight="1" x14ac:dyDescent="0.3">
      <c r="A218" s="53"/>
      <c r="B218" s="92" t="s">
        <v>131</v>
      </c>
      <c r="C218" s="99"/>
      <c r="D218" s="73">
        <f t="shared" si="19"/>
        <v>4580</v>
      </c>
      <c r="E218" s="73">
        <v>840</v>
      </c>
      <c r="F218" s="73"/>
      <c r="G218" s="73"/>
      <c r="H218" s="125">
        <f>'4.pielikums'!B354</f>
        <v>5420</v>
      </c>
    </row>
    <row r="219" spans="1:8" ht="15" customHeight="1" x14ac:dyDescent="0.3">
      <c r="A219" s="53"/>
      <c r="B219" s="69" t="s">
        <v>24</v>
      </c>
      <c r="C219" s="89"/>
      <c r="D219" s="73">
        <f t="shared" si="19"/>
        <v>11699</v>
      </c>
      <c r="E219" s="73">
        <v>2880</v>
      </c>
      <c r="F219" s="73"/>
      <c r="G219" s="73"/>
      <c r="H219" s="125">
        <f>'4.pielikums'!B356</f>
        <v>14579</v>
      </c>
    </row>
    <row r="220" spans="1:8" ht="15" customHeight="1" x14ac:dyDescent="0.3">
      <c r="A220" s="53"/>
      <c r="B220" s="75" t="s">
        <v>90</v>
      </c>
      <c r="C220" s="99"/>
      <c r="D220" s="73">
        <f t="shared" si="19"/>
        <v>331836</v>
      </c>
      <c r="E220" s="73">
        <v>15300</v>
      </c>
      <c r="F220" s="73">
        <v>24534</v>
      </c>
      <c r="G220" s="73"/>
      <c r="H220" s="125">
        <f>'4.pielikums'!B358</f>
        <v>371670</v>
      </c>
    </row>
    <row r="221" spans="1:8" ht="15" customHeight="1" x14ac:dyDescent="0.3">
      <c r="A221" s="53"/>
      <c r="B221" s="75" t="s">
        <v>89</v>
      </c>
      <c r="C221" s="99"/>
      <c r="D221" s="73">
        <f t="shared" si="19"/>
        <v>18549</v>
      </c>
      <c r="E221" s="73">
        <v>2926</v>
      </c>
      <c r="F221" s="73"/>
      <c r="G221" s="73"/>
      <c r="H221" s="125">
        <f>'4.pielikums'!B360</f>
        <v>21475</v>
      </c>
    </row>
    <row r="222" spans="1:8" ht="30" customHeight="1" x14ac:dyDescent="0.3">
      <c r="A222" s="53"/>
      <c r="B222" s="75" t="s">
        <v>92</v>
      </c>
      <c r="C222" s="99"/>
      <c r="D222" s="73">
        <f t="shared" si="19"/>
        <v>6181</v>
      </c>
      <c r="E222" s="73">
        <v>2300</v>
      </c>
      <c r="F222" s="73"/>
      <c r="G222" s="73"/>
      <c r="H222" s="125">
        <f>'4.pielikums'!B362</f>
        <v>8481</v>
      </c>
    </row>
    <row r="223" spans="1:8" ht="30" customHeight="1" x14ac:dyDescent="0.3">
      <c r="A223" s="53"/>
      <c r="B223" s="75" t="s">
        <v>202</v>
      </c>
      <c r="C223" s="99"/>
      <c r="D223" s="73">
        <f t="shared" si="19"/>
        <v>91945</v>
      </c>
      <c r="E223" s="73">
        <v>3710</v>
      </c>
      <c r="F223" s="73">
        <v>3384</v>
      </c>
      <c r="G223" s="73"/>
      <c r="H223" s="125">
        <f>'4.pielikums'!B364+'4.pielikums'!B366+'4.pielikums'!B368</f>
        <v>99039</v>
      </c>
    </row>
    <row r="224" spans="1:8" ht="15" customHeight="1" x14ac:dyDescent="0.3">
      <c r="A224" s="19" t="s">
        <v>204</v>
      </c>
      <c r="B224" s="71" t="s">
        <v>205</v>
      </c>
      <c r="C224" s="138"/>
      <c r="D224" s="138">
        <f>SUM(D225:D242)</f>
        <v>220541</v>
      </c>
      <c r="E224" s="138">
        <f t="shared" ref="E224:F224" si="20">SUM(E225:E242)</f>
        <v>26823</v>
      </c>
      <c r="F224" s="138">
        <f t="shared" si="20"/>
        <v>36230</v>
      </c>
      <c r="G224" s="138">
        <f>G225+G226+G227+G230+G228+G231</f>
        <v>0</v>
      </c>
      <c r="H224" s="125">
        <f>SUM(H225:H242)</f>
        <v>283594</v>
      </c>
    </row>
    <row r="225" spans="1:8" ht="15" customHeight="1" x14ac:dyDescent="0.3">
      <c r="A225" s="53"/>
      <c r="B225" s="68" t="s">
        <v>657</v>
      </c>
      <c r="C225" s="99"/>
      <c r="D225" s="73">
        <f t="shared" ref="D225:D242" si="21">H225-E225-G225-F225-C225</f>
        <v>95958</v>
      </c>
      <c r="E225" s="73"/>
      <c r="F225" s="73"/>
      <c r="G225" s="73"/>
      <c r="H225" s="125">
        <f>'4.pielikums'!B370</f>
        <v>95958</v>
      </c>
    </row>
    <row r="226" spans="1:8" ht="15" customHeight="1" x14ac:dyDescent="0.3">
      <c r="A226" s="53"/>
      <c r="B226" s="68" t="s">
        <v>653</v>
      </c>
      <c r="C226" s="99"/>
      <c r="D226" s="73">
        <f t="shared" si="21"/>
        <v>59301</v>
      </c>
      <c r="E226" s="73">
        <v>9323</v>
      </c>
      <c r="F226" s="73"/>
      <c r="G226" s="73"/>
      <c r="H226" s="125">
        <f>'4.pielikums'!B372</f>
        <v>68624</v>
      </c>
    </row>
    <row r="227" spans="1:8" ht="30" customHeight="1" x14ac:dyDescent="0.3">
      <c r="A227" s="53"/>
      <c r="B227" s="92" t="s">
        <v>25</v>
      </c>
      <c r="C227" s="99"/>
      <c r="D227" s="73">
        <f t="shared" si="21"/>
        <v>38140</v>
      </c>
      <c r="E227" s="73"/>
      <c r="F227" s="73"/>
      <c r="G227" s="73"/>
      <c r="H227" s="125">
        <f>'4.pielikums'!B374</f>
        <v>38140</v>
      </c>
    </row>
    <row r="228" spans="1:8" s="79" customFormat="1" ht="33.75" customHeight="1" x14ac:dyDescent="0.3">
      <c r="A228" s="124"/>
      <c r="B228" s="92" t="s">
        <v>621</v>
      </c>
      <c r="C228" s="99"/>
      <c r="D228" s="73">
        <f t="shared" si="21"/>
        <v>6000</v>
      </c>
      <c r="E228" s="73"/>
      <c r="F228" s="73"/>
      <c r="G228" s="73"/>
      <c r="H228" s="125">
        <f>'4.pielikums'!B568</f>
        <v>6000</v>
      </c>
    </row>
    <row r="229" spans="1:8" s="79" customFormat="1" ht="33.75" customHeight="1" x14ac:dyDescent="0.3">
      <c r="A229" s="124"/>
      <c r="B229" s="92" t="s">
        <v>722</v>
      </c>
      <c r="C229" s="99"/>
      <c r="D229" s="73">
        <f t="shared" si="21"/>
        <v>5000</v>
      </c>
      <c r="E229" s="73"/>
      <c r="F229" s="73"/>
      <c r="G229" s="73"/>
      <c r="H229" s="125">
        <f>'4.pielikums'!B516</f>
        <v>5000</v>
      </c>
    </row>
    <row r="230" spans="1:8" ht="30" customHeight="1" x14ac:dyDescent="0.3">
      <c r="A230" s="19"/>
      <c r="B230" s="92" t="s">
        <v>745</v>
      </c>
      <c r="C230" s="99"/>
      <c r="D230" s="73">
        <f t="shared" si="21"/>
        <v>3000</v>
      </c>
      <c r="E230" s="73">
        <v>3500</v>
      </c>
      <c r="F230" s="73">
        <v>1500</v>
      </c>
      <c r="G230" s="73"/>
      <c r="H230" s="125">
        <f>'4.pielikums'!B526</f>
        <v>8000</v>
      </c>
    </row>
    <row r="231" spans="1:8" ht="50.25" customHeight="1" x14ac:dyDescent="0.3">
      <c r="A231" s="19"/>
      <c r="B231" s="92" t="s">
        <v>696</v>
      </c>
      <c r="C231" s="99"/>
      <c r="D231" s="73">
        <f t="shared" si="21"/>
        <v>13142</v>
      </c>
      <c r="E231" s="73"/>
      <c r="F231" s="73"/>
      <c r="G231" s="73"/>
      <c r="H231" s="125">
        <f>'4.pielikums'!B574</f>
        <v>13142</v>
      </c>
    </row>
    <row r="232" spans="1:8" ht="66.75" customHeight="1" x14ac:dyDescent="0.3">
      <c r="A232" s="19"/>
      <c r="B232" s="92" t="s">
        <v>732</v>
      </c>
      <c r="C232" s="99"/>
      <c r="D232" s="73">
        <f t="shared" si="21"/>
        <v>0</v>
      </c>
      <c r="E232" s="73"/>
      <c r="F232" s="73">
        <v>15000</v>
      </c>
      <c r="G232" s="73"/>
      <c r="H232" s="125">
        <f>'4.pielikums'!B580</f>
        <v>15000</v>
      </c>
    </row>
    <row r="233" spans="1:8" ht="37.5" customHeight="1" x14ac:dyDescent="0.3">
      <c r="A233" s="19"/>
      <c r="B233" s="92" t="s">
        <v>733</v>
      </c>
      <c r="C233" s="99"/>
      <c r="D233" s="73">
        <f t="shared" si="21"/>
        <v>0</v>
      </c>
      <c r="E233" s="73"/>
      <c r="F233" s="73">
        <v>700</v>
      </c>
      <c r="G233" s="73"/>
      <c r="H233" s="125">
        <f>'4.pielikums'!B582</f>
        <v>700</v>
      </c>
    </row>
    <row r="234" spans="1:8" ht="38.25" customHeight="1" x14ac:dyDescent="0.3">
      <c r="A234" s="19"/>
      <c r="B234" s="92" t="s">
        <v>734</v>
      </c>
      <c r="C234" s="99"/>
      <c r="D234" s="73">
        <f t="shared" si="21"/>
        <v>0</v>
      </c>
      <c r="E234" s="73"/>
      <c r="F234" s="73">
        <v>880</v>
      </c>
      <c r="G234" s="73"/>
      <c r="H234" s="125">
        <f>'4.pielikums'!B584</f>
        <v>880</v>
      </c>
    </row>
    <row r="235" spans="1:8" ht="50.25" customHeight="1" x14ac:dyDescent="0.3">
      <c r="A235" s="19"/>
      <c r="B235" s="92" t="s">
        <v>736</v>
      </c>
      <c r="C235" s="99"/>
      <c r="D235" s="73">
        <f t="shared" si="21"/>
        <v>0</v>
      </c>
      <c r="E235" s="73"/>
      <c r="F235" s="73">
        <v>2400</v>
      </c>
      <c r="G235" s="73"/>
      <c r="H235" s="125">
        <f>'4.pielikums'!B586</f>
        <v>2400</v>
      </c>
    </row>
    <row r="236" spans="1:8" ht="50.25" customHeight="1" x14ac:dyDescent="0.3">
      <c r="A236" s="19"/>
      <c r="B236" s="92" t="s">
        <v>737</v>
      </c>
      <c r="C236" s="99"/>
      <c r="D236" s="73">
        <f t="shared" si="21"/>
        <v>0</v>
      </c>
      <c r="E236" s="73"/>
      <c r="F236" s="73">
        <v>10000</v>
      </c>
      <c r="G236" s="73"/>
      <c r="H236" s="125">
        <f>'4.pielikums'!B588</f>
        <v>10000</v>
      </c>
    </row>
    <row r="237" spans="1:8" ht="50.25" customHeight="1" x14ac:dyDescent="0.3">
      <c r="A237" s="19"/>
      <c r="B237" s="92" t="s">
        <v>738</v>
      </c>
      <c r="C237" s="99"/>
      <c r="D237" s="73">
        <f t="shared" si="21"/>
        <v>0</v>
      </c>
      <c r="E237" s="73"/>
      <c r="F237" s="73">
        <v>5000</v>
      </c>
      <c r="G237" s="73"/>
      <c r="H237" s="125">
        <f>'4.pielikums'!B590</f>
        <v>5000</v>
      </c>
    </row>
    <row r="238" spans="1:8" ht="27" customHeight="1" x14ac:dyDescent="0.3">
      <c r="A238" s="19"/>
      <c r="B238" s="92" t="s">
        <v>753</v>
      </c>
      <c r="C238" s="99"/>
      <c r="D238" s="73">
        <f>H238-E238-G238-F238-C238</f>
        <v>0</v>
      </c>
      <c r="E238" s="73"/>
      <c r="F238" s="73">
        <v>750</v>
      </c>
      <c r="G238" s="73"/>
      <c r="H238" s="125">
        <f>'4.pielikums'!B608</f>
        <v>750</v>
      </c>
    </row>
    <row r="239" spans="1:8" ht="50.25" customHeight="1" x14ac:dyDescent="0.3">
      <c r="A239" s="19"/>
      <c r="B239" s="92" t="s">
        <v>756</v>
      </c>
      <c r="C239" s="99"/>
      <c r="D239" s="73">
        <f t="shared" si="21"/>
        <v>0</v>
      </c>
      <c r="E239" s="73">
        <v>5000</v>
      </c>
      <c r="F239" s="73"/>
      <c r="G239" s="73"/>
      <c r="H239" s="125">
        <f>'4.pielikums'!B592</f>
        <v>5000</v>
      </c>
    </row>
    <row r="240" spans="1:8" ht="41.25" customHeight="1" x14ac:dyDescent="0.3">
      <c r="A240" s="19"/>
      <c r="B240" s="92" t="s">
        <v>742</v>
      </c>
      <c r="C240" s="99"/>
      <c r="D240" s="73">
        <f t="shared" si="21"/>
        <v>0</v>
      </c>
      <c r="E240" s="73">
        <v>1000</v>
      </c>
      <c r="F240" s="73"/>
      <c r="G240" s="73"/>
      <c r="H240" s="125">
        <f>'4.pielikums'!B594</f>
        <v>1000</v>
      </c>
    </row>
    <row r="241" spans="1:8" ht="50.25" customHeight="1" x14ac:dyDescent="0.3">
      <c r="A241" s="19"/>
      <c r="B241" s="92" t="s">
        <v>743</v>
      </c>
      <c r="C241" s="99"/>
      <c r="D241" s="73">
        <f t="shared" si="21"/>
        <v>0</v>
      </c>
      <c r="E241" s="73">
        <v>4000</v>
      </c>
      <c r="F241" s="73"/>
      <c r="G241" s="73"/>
      <c r="H241" s="125">
        <f>'4.pielikums'!B596</f>
        <v>4000</v>
      </c>
    </row>
    <row r="242" spans="1:8" ht="37.5" customHeight="1" x14ac:dyDescent="0.3">
      <c r="A242" s="19"/>
      <c r="B242" s="75" t="s">
        <v>744</v>
      </c>
      <c r="C242" s="99"/>
      <c r="D242" s="73">
        <f t="shared" si="21"/>
        <v>0</v>
      </c>
      <c r="E242" s="73">
        <v>4000</v>
      </c>
      <c r="F242" s="73"/>
      <c r="G242" s="73"/>
      <c r="H242" s="125">
        <f>'4.pielikums'!B598</f>
        <v>4000</v>
      </c>
    </row>
    <row r="243" spans="1:8" ht="15" customHeight="1" x14ac:dyDescent="0.3">
      <c r="A243" s="19" t="s">
        <v>206</v>
      </c>
      <c r="B243" s="70" t="s">
        <v>207</v>
      </c>
      <c r="C243" s="72">
        <f t="shared" ref="C243:H243" si="22">C244+C252+C259+C266+C272+C275</f>
        <v>313464</v>
      </c>
      <c r="D243" s="72">
        <f t="shared" si="22"/>
        <v>8229859</v>
      </c>
      <c r="E243" s="72">
        <f t="shared" si="22"/>
        <v>464972</v>
      </c>
      <c r="F243" s="72">
        <f t="shared" si="22"/>
        <v>9896884</v>
      </c>
      <c r="G243" s="72">
        <f t="shared" si="22"/>
        <v>406347</v>
      </c>
      <c r="H243" s="125">
        <f t="shared" si="22"/>
        <v>19311526</v>
      </c>
    </row>
    <row r="244" spans="1:8" ht="15" customHeight="1" x14ac:dyDescent="0.3">
      <c r="A244" s="19"/>
      <c r="B244" s="70" t="s">
        <v>208</v>
      </c>
      <c r="C244" s="72">
        <f t="shared" ref="C244:G244" si="23">SUM(C245:C250)</f>
        <v>0</v>
      </c>
      <c r="D244" s="72">
        <f t="shared" si="23"/>
        <v>2069355</v>
      </c>
      <c r="E244" s="72">
        <f>SUM(E245:E250)</f>
        <v>109740</v>
      </c>
      <c r="F244" s="72">
        <f t="shared" si="23"/>
        <v>558434</v>
      </c>
      <c r="G244" s="72">
        <f t="shared" si="23"/>
        <v>0</v>
      </c>
      <c r="H244" s="125">
        <f>SUM(H245:H250)</f>
        <v>2737529</v>
      </c>
    </row>
    <row r="245" spans="1:8" ht="15" customHeight="1" x14ac:dyDescent="0.3">
      <c r="A245" s="53"/>
      <c r="B245" s="69" t="s">
        <v>26</v>
      </c>
      <c r="C245" s="89"/>
      <c r="D245" s="73">
        <f t="shared" ref="D245:D250" si="24">H245-E245-G245-F245-C245</f>
        <v>751553</v>
      </c>
      <c r="E245" s="73">
        <v>41440</v>
      </c>
      <c r="F245" s="73">
        <f>249915+17811+2508</f>
        <v>270234</v>
      </c>
      <c r="G245" s="73"/>
      <c r="H245" s="125">
        <f>'4.pielikums'!B376</f>
        <v>1063227</v>
      </c>
    </row>
    <row r="246" spans="1:8" ht="15" customHeight="1" x14ac:dyDescent="0.3">
      <c r="A246" s="53"/>
      <c r="B246" s="69" t="s">
        <v>27</v>
      </c>
      <c r="C246" s="89"/>
      <c r="D246" s="73">
        <f t="shared" si="24"/>
        <v>500081</v>
      </c>
      <c r="E246" s="73">
        <v>30200</v>
      </c>
      <c r="F246" s="73">
        <f>106212+1684</f>
        <v>107896</v>
      </c>
      <c r="G246" s="73"/>
      <c r="H246" s="125">
        <f>'4.pielikums'!B378</f>
        <v>638177</v>
      </c>
    </row>
    <row r="247" spans="1:8" ht="15" customHeight="1" x14ac:dyDescent="0.3">
      <c r="A247" s="53"/>
      <c r="B247" s="69" t="s">
        <v>28</v>
      </c>
      <c r="C247" s="89"/>
      <c r="D247" s="73">
        <f t="shared" si="24"/>
        <v>135785</v>
      </c>
      <c r="E247" s="73">
        <v>6875</v>
      </c>
      <c r="F247" s="73">
        <f>28176+447</f>
        <v>28623</v>
      </c>
      <c r="G247" s="73"/>
      <c r="H247" s="125">
        <f>'4.pielikums'!B380</f>
        <v>171283</v>
      </c>
    </row>
    <row r="248" spans="1:8" ht="15" customHeight="1" x14ac:dyDescent="0.3">
      <c r="A248" s="53"/>
      <c r="B248" s="69" t="s">
        <v>488</v>
      </c>
      <c r="C248" s="89"/>
      <c r="D248" s="73">
        <f t="shared" si="24"/>
        <v>334717</v>
      </c>
      <c r="E248" s="73">
        <f>11100+1875</f>
        <v>12975</v>
      </c>
      <c r="F248" s="73">
        <f>28176+447</f>
        <v>28623</v>
      </c>
      <c r="G248" s="73"/>
      <c r="H248" s="125">
        <f>'4.pielikums'!B382</f>
        <v>376315</v>
      </c>
    </row>
    <row r="249" spans="1:8" ht="30" customHeight="1" x14ac:dyDescent="0.3">
      <c r="A249" s="53"/>
      <c r="B249" s="75" t="s">
        <v>96</v>
      </c>
      <c r="C249" s="99"/>
      <c r="D249" s="73">
        <f t="shared" si="24"/>
        <v>302829</v>
      </c>
      <c r="E249" s="73">
        <v>13950</v>
      </c>
      <c r="F249" s="73">
        <f>98004+23748+1306</f>
        <v>123058</v>
      </c>
      <c r="G249" s="73"/>
      <c r="H249" s="125">
        <f>'4.pielikums'!B384</f>
        <v>439837</v>
      </c>
    </row>
    <row r="250" spans="1:8" ht="30" customHeight="1" x14ac:dyDescent="0.3">
      <c r="A250" s="53"/>
      <c r="B250" s="75" t="s">
        <v>552</v>
      </c>
      <c r="C250" s="99"/>
      <c r="D250" s="73">
        <f t="shared" si="24"/>
        <v>44390</v>
      </c>
      <c r="E250" s="73">
        <v>4300</v>
      </c>
      <c r="F250" s="73"/>
      <c r="G250" s="73"/>
      <c r="H250" s="125">
        <f>'4.pielikums'!B386</f>
        <v>48690</v>
      </c>
    </row>
    <row r="251" spans="1:8" ht="31.2" x14ac:dyDescent="0.3">
      <c r="A251" s="19"/>
      <c r="B251" s="114" t="s">
        <v>209</v>
      </c>
      <c r="C251" s="137"/>
      <c r="D251" s="73"/>
      <c r="E251" s="73"/>
      <c r="F251" s="73"/>
      <c r="G251" s="73"/>
      <c r="H251" s="125"/>
    </row>
    <row r="252" spans="1:8" ht="15" customHeight="1" x14ac:dyDescent="0.3">
      <c r="A252" s="19"/>
      <c r="B252" s="70" t="s">
        <v>697</v>
      </c>
      <c r="C252" s="72">
        <f t="shared" ref="C252:G252" si="25">SUM(C253:C258)</f>
        <v>0</v>
      </c>
      <c r="D252" s="72">
        <f t="shared" si="25"/>
        <v>1431571</v>
      </c>
      <c r="E252" s="72">
        <f t="shared" si="25"/>
        <v>102632</v>
      </c>
      <c r="F252" s="72">
        <f t="shared" si="25"/>
        <v>2957137</v>
      </c>
      <c r="G252" s="72">
        <f t="shared" si="25"/>
        <v>0</v>
      </c>
      <c r="H252" s="125">
        <f>SUM(H253:H258)</f>
        <v>4491340</v>
      </c>
    </row>
    <row r="253" spans="1:8" ht="15" customHeight="1" x14ac:dyDescent="0.3">
      <c r="A253" s="53"/>
      <c r="B253" s="69" t="s">
        <v>60</v>
      </c>
      <c r="C253" s="89"/>
      <c r="D253" s="73">
        <f t="shared" ref="D253:D258" si="26">H253-E253-G253-F253-C253</f>
        <v>334026</v>
      </c>
      <c r="E253" s="73">
        <f>3800+45385</f>
        <v>49185</v>
      </c>
      <c r="F253" s="73">
        <f>81883+1061730+32064+17811+15977</f>
        <v>1209465</v>
      </c>
      <c r="G253" s="73"/>
      <c r="H253" s="125">
        <f>'4.pielikums'!B388</f>
        <v>1592676</v>
      </c>
    </row>
    <row r="254" spans="1:8" ht="15" customHeight="1" x14ac:dyDescent="0.3">
      <c r="A254" s="53"/>
      <c r="B254" s="69" t="s">
        <v>100</v>
      </c>
      <c r="C254" s="89"/>
      <c r="D254" s="73">
        <f t="shared" si="26"/>
        <v>309803</v>
      </c>
      <c r="E254" s="73">
        <v>19853</v>
      </c>
      <c r="F254" s="73">
        <f>5168+168132+15168+10452+17811+3360+1787</f>
        <v>221878</v>
      </c>
      <c r="G254" s="73"/>
      <c r="H254" s="125">
        <f>'4.pielikums'!B390</f>
        <v>551534</v>
      </c>
    </row>
    <row r="255" spans="1:8" ht="15" customHeight="1" x14ac:dyDescent="0.3">
      <c r="A255" s="53"/>
      <c r="B255" s="69" t="s">
        <v>210</v>
      </c>
      <c r="C255" s="89"/>
      <c r="D255" s="73">
        <f t="shared" si="26"/>
        <v>223781</v>
      </c>
      <c r="E255" s="73">
        <v>7050</v>
      </c>
      <c r="F255" s="73">
        <f>5161+403536+16176+6972+53433+1680+2027</f>
        <v>488985</v>
      </c>
      <c r="G255" s="73"/>
      <c r="H255" s="125">
        <f>'4.pielikums'!B392</f>
        <v>719816</v>
      </c>
    </row>
    <row r="256" spans="1:8" ht="15" customHeight="1" x14ac:dyDescent="0.3">
      <c r="A256" s="53"/>
      <c r="B256" s="69" t="s">
        <v>29</v>
      </c>
      <c r="C256" s="89"/>
      <c r="D256" s="73">
        <f t="shared" si="26"/>
        <v>154321</v>
      </c>
      <c r="E256" s="73">
        <v>3744</v>
      </c>
      <c r="F256" s="73">
        <f>5951+359352+9060+5937+1855</f>
        <v>382155</v>
      </c>
      <c r="G256" s="73"/>
      <c r="H256" s="125">
        <f>'4.pielikums'!B394</f>
        <v>540220</v>
      </c>
    </row>
    <row r="257" spans="1:8" ht="15" customHeight="1" x14ac:dyDescent="0.3">
      <c r="A257" s="53"/>
      <c r="B257" s="69" t="s">
        <v>153</v>
      </c>
      <c r="C257" s="89"/>
      <c r="D257" s="73">
        <f t="shared" si="26"/>
        <v>330468</v>
      </c>
      <c r="E257" s="73">
        <v>11250</v>
      </c>
      <c r="F257" s="73">
        <f>10636+552696+26004+20220+41559+3127</f>
        <v>654242</v>
      </c>
      <c r="G257" s="73"/>
      <c r="H257" s="125">
        <f>'4.pielikums'!B396</f>
        <v>995960</v>
      </c>
    </row>
    <row r="258" spans="1:8" ht="30" customHeight="1" x14ac:dyDescent="0.3">
      <c r="A258" s="53"/>
      <c r="B258" s="68" t="s">
        <v>154</v>
      </c>
      <c r="C258" s="99"/>
      <c r="D258" s="73">
        <f t="shared" si="26"/>
        <v>79172</v>
      </c>
      <c r="E258" s="73">
        <v>11550</v>
      </c>
      <c r="F258" s="73">
        <v>412</v>
      </c>
      <c r="G258" s="73"/>
      <c r="H258" s="125">
        <f>'4.pielikums'!B398</f>
        <v>91134</v>
      </c>
    </row>
    <row r="259" spans="1:8" ht="15" customHeight="1" x14ac:dyDescent="0.3">
      <c r="A259" s="19"/>
      <c r="B259" s="70" t="s">
        <v>211</v>
      </c>
      <c r="C259" s="72">
        <f>SUM(C260:C265)</f>
        <v>0</v>
      </c>
      <c r="D259" s="72">
        <f t="shared" ref="D259:G259" si="27">SUM(D260:D265)</f>
        <v>2645568</v>
      </c>
      <c r="E259" s="72">
        <f>SUM(E260:E265)</f>
        <v>101652</v>
      </c>
      <c r="F259" s="72">
        <f t="shared" si="27"/>
        <v>3499616</v>
      </c>
      <c r="G259" s="72">
        <f t="shared" si="27"/>
        <v>0</v>
      </c>
      <c r="H259" s="125">
        <f>SUM(H260:H265)</f>
        <v>6246836</v>
      </c>
    </row>
    <row r="260" spans="1:8" ht="15" customHeight="1" x14ac:dyDescent="0.3">
      <c r="A260" s="53"/>
      <c r="B260" s="69" t="s">
        <v>30</v>
      </c>
      <c r="C260" s="89"/>
      <c r="D260" s="73">
        <f t="shared" ref="D260:D265" si="28">H260-E260-G260-F260-C260</f>
        <v>477512</v>
      </c>
      <c r="E260" s="73">
        <f>18072+747</f>
        <v>18819</v>
      </c>
      <c r="F260" s="73">
        <f>701820+18828+8246</f>
        <v>728894</v>
      </c>
      <c r="G260" s="73"/>
      <c r="H260" s="125">
        <f>'4.pielikums'!B400</f>
        <v>1225225</v>
      </c>
    </row>
    <row r="261" spans="1:8" ht="15" customHeight="1" x14ac:dyDescent="0.3">
      <c r="A261" s="53"/>
      <c r="B261" s="69" t="s">
        <v>508</v>
      </c>
      <c r="C261" s="89"/>
      <c r="D261" s="73">
        <f t="shared" si="28"/>
        <v>340721</v>
      </c>
      <c r="E261" s="73">
        <v>9373</v>
      </c>
      <c r="F261" s="73">
        <f>17109+628932+25788+23748+1680+6288</f>
        <v>703545</v>
      </c>
      <c r="G261" s="73"/>
      <c r="H261" s="125">
        <f>'4.pielikums'!B402</f>
        <v>1053639</v>
      </c>
    </row>
    <row r="262" spans="1:8" ht="30" customHeight="1" x14ac:dyDescent="0.3">
      <c r="A262" s="53"/>
      <c r="B262" s="68" t="s">
        <v>212</v>
      </c>
      <c r="C262" s="99"/>
      <c r="D262" s="73">
        <f t="shared" si="28"/>
        <v>477977</v>
      </c>
      <c r="E262" s="73">
        <v>43789</v>
      </c>
      <c r="F262" s="73">
        <f>461124+13944+321564+5600</f>
        <v>802232</v>
      </c>
      <c r="G262" s="73"/>
      <c r="H262" s="125">
        <f>'4.pielikums'!B404</f>
        <v>1323998</v>
      </c>
    </row>
    <row r="263" spans="1:8" ht="15" customHeight="1" x14ac:dyDescent="0.3">
      <c r="A263" s="53"/>
      <c r="B263" s="68" t="s">
        <v>99</v>
      </c>
      <c r="C263" s="99"/>
      <c r="D263" s="73">
        <f t="shared" si="28"/>
        <v>431688</v>
      </c>
      <c r="E263" s="73">
        <f>3400+2430</f>
        <v>5830</v>
      </c>
      <c r="F263" s="73">
        <f>10605+257844+41184+12540+1680+4123</f>
        <v>327976</v>
      </c>
      <c r="G263" s="73"/>
      <c r="H263" s="125">
        <f>'4.pielikums'!B406</f>
        <v>765494</v>
      </c>
    </row>
    <row r="264" spans="1:8" ht="15" customHeight="1" x14ac:dyDescent="0.3">
      <c r="A264" s="53"/>
      <c r="B264" s="68" t="s">
        <v>94</v>
      </c>
      <c r="C264" s="99"/>
      <c r="D264" s="73">
        <f t="shared" si="28"/>
        <v>418541</v>
      </c>
      <c r="E264" s="73">
        <v>13301</v>
      </c>
      <c r="F264" s="73">
        <f>13485+334632+67188+15336+3360+5154</f>
        <v>439155</v>
      </c>
      <c r="G264" s="73"/>
      <c r="H264" s="125">
        <f>'4.pielikums'!B408</f>
        <v>870997</v>
      </c>
    </row>
    <row r="265" spans="1:8" ht="15" customHeight="1" x14ac:dyDescent="0.3">
      <c r="A265" s="53"/>
      <c r="B265" s="68" t="s">
        <v>101</v>
      </c>
      <c r="C265" s="99"/>
      <c r="D265" s="73">
        <f t="shared" si="28"/>
        <v>499129</v>
      </c>
      <c r="E265" s="73">
        <v>10540</v>
      </c>
      <c r="F265" s="73">
        <f>14529+420576+34680+18828+3360+5841</f>
        <v>497814</v>
      </c>
      <c r="G265" s="73"/>
      <c r="H265" s="125">
        <f>'4.pielikums'!B410</f>
        <v>1007483</v>
      </c>
    </row>
    <row r="266" spans="1:8" ht="30" customHeight="1" x14ac:dyDescent="0.3">
      <c r="A266" s="58"/>
      <c r="B266" s="114" t="s">
        <v>213</v>
      </c>
      <c r="C266" s="72">
        <f t="shared" ref="C266:G266" si="29">SUM(C267:C271)</f>
        <v>0</v>
      </c>
      <c r="D266" s="72">
        <f>SUM(D267:D271)</f>
        <v>921639</v>
      </c>
      <c r="E266" s="72">
        <f>SUM(E267:E271)</f>
        <v>143348</v>
      </c>
      <c r="F266" s="72">
        <f t="shared" si="29"/>
        <v>1277115</v>
      </c>
      <c r="G266" s="72">
        <f t="shared" si="29"/>
        <v>0</v>
      </c>
      <c r="H266" s="125">
        <f>SUM(H267:H271)</f>
        <v>2342102</v>
      </c>
    </row>
    <row r="267" spans="1:8" ht="15" customHeight="1" x14ac:dyDescent="0.3">
      <c r="A267" s="53"/>
      <c r="B267" s="69" t="s">
        <v>31</v>
      </c>
      <c r="C267" s="89"/>
      <c r="D267" s="73">
        <f>H267-E267-G267-F267-C267</f>
        <v>160951</v>
      </c>
      <c r="E267" s="73">
        <v>13500</v>
      </c>
      <c r="F267" s="73">
        <f>698683+18020</f>
        <v>716703</v>
      </c>
      <c r="G267" s="73"/>
      <c r="H267" s="125">
        <f>'4.pielikums'!B412</f>
        <v>891154</v>
      </c>
    </row>
    <row r="268" spans="1:8" ht="15" customHeight="1" x14ac:dyDescent="0.3">
      <c r="A268" s="53"/>
      <c r="B268" s="69" t="s">
        <v>32</v>
      </c>
      <c r="C268" s="89"/>
      <c r="D268" s="73">
        <f>H268-E268-G268-F268-C268</f>
        <v>189792</v>
      </c>
      <c r="E268" s="73">
        <v>11020</v>
      </c>
      <c r="F268" s="73">
        <f>84430+9000</f>
        <v>93430</v>
      </c>
      <c r="G268" s="73"/>
      <c r="H268" s="125">
        <f>'4.pielikums'!B414</f>
        <v>294242</v>
      </c>
    </row>
    <row r="269" spans="1:8" ht="15" customHeight="1" x14ac:dyDescent="0.3">
      <c r="A269" s="53"/>
      <c r="B269" s="69" t="s">
        <v>33</v>
      </c>
      <c r="C269" s="89"/>
      <c r="D269" s="73">
        <f>H269-E269-G269-F269-C269</f>
        <v>292184</v>
      </c>
      <c r="E269" s="73">
        <v>10800</v>
      </c>
      <c r="F269" s="73">
        <f>393455+15336</f>
        <v>408791</v>
      </c>
      <c r="G269" s="73"/>
      <c r="H269" s="125">
        <f>'4.pielikums'!B416</f>
        <v>711775</v>
      </c>
    </row>
    <row r="270" spans="1:8" ht="15" customHeight="1" x14ac:dyDescent="0.3">
      <c r="A270" s="53"/>
      <c r="B270" s="69" t="s">
        <v>214</v>
      </c>
      <c r="C270" s="89"/>
      <c r="D270" s="73">
        <f>H270-E270-G270-F270-C270</f>
        <v>135201</v>
      </c>
      <c r="E270" s="73">
        <v>105676</v>
      </c>
      <c r="F270" s="73"/>
      <c r="G270" s="73"/>
      <c r="H270" s="125">
        <f>'4.pielikums'!B418</f>
        <v>240877</v>
      </c>
    </row>
    <row r="271" spans="1:8" ht="15" customHeight="1" x14ac:dyDescent="0.3">
      <c r="A271" s="53"/>
      <c r="B271" s="69" t="s">
        <v>215</v>
      </c>
      <c r="C271" s="89"/>
      <c r="D271" s="73">
        <f>H271-E271-G271-F271-C271</f>
        <v>143511</v>
      </c>
      <c r="E271" s="73">
        <v>2352</v>
      </c>
      <c r="F271" s="73">
        <f>58191</f>
        <v>58191</v>
      </c>
      <c r="G271" s="73"/>
      <c r="H271" s="125">
        <f>'4.pielikums'!B420</f>
        <v>204054</v>
      </c>
    </row>
    <row r="272" spans="1:8" ht="22.5" customHeight="1" x14ac:dyDescent="0.3">
      <c r="A272" s="19"/>
      <c r="B272" s="114" t="s">
        <v>216</v>
      </c>
      <c r="C272" s="72">
        <f t="shared" ref="C272:G272" si="30">C273</f>
        <v>0</v>
      </c>
      <c r="D272" s="72">
        <f>D273+D274</f>
        <v>316319</v>
      </c>
      <c r="E272" s="72">
        <f t="shared" si="30"/>
        <v>0</v>
      </c>
      <c r="F272" s="72">
        <f t="shared" si="30"/>
        <v>0</v>
      </c>
      <c r="G272" s="72">
        <f t="shared" si="30"/>
        <v>0</v>
      </c>
      <c r="H272" s="125">
        <f>H273+H274</f>
        <v>316319</v>
      </c>
    </row>
    <row r="273" spans="1:8" ht="24" customHeight="1" x14ac:dyDescent="0.3">
      <c r="A273" s="54"/>
      <c r="B273" s="92" t="s">
        <v>98</v>
      </c>
      <c r="C273" s="99"/>
      <c r="D273" s="73">
        <f>H273-E273-G273-F273-C273</f>
        <v>280445</v>
      </c>
      <c r="E273" s="73"/>
      <c r="F273" s="73"/>
      <c r="G273" s="73"/>
      <c r="H273" s="125">
        <f>'4.pielikums'!B422</f>
        <v>280445</v>
      </c>
    </row>
    <row r="274" spans="1:8" ht="24" customHeight="1" x14ac:dyDescent="0.3">
      <c r="A274" s="54"/>
      <c r="B274" s="92" t="s">
        <v>622</v>
      </c>
      <c r="C274" s="99"/>
      <c r="D274" s="73">
        <f>H274-E274-G274-F274-C274</f>
        <v>35874</v>
      </c>
      <c r="E274" s="73"/>
      <c r="F274" s="73"/>
      <c r="G274" s="73"/>
      <c r="H274" s="125">
        <f>'4.pielikums'!B570</f>
        <v>35874</v>
      </c>
    </row>
    <row r="275" spans="1:8" ht="30" customHeight="1" x14ac:dyDescent="0.3">
      <c r="A275" s="57"/>
      <c r="B275" s="114" t="s">
        <v>217</v>
      </c>
      <c r="C275" s="72">
        <f t="shared" ref="C275:H275" si="31">SUM(C276:C315)</f>
        <v>313464</v>
      </c>
      <c r="D275" s="72">
        <f t="shared" si="31"/>
        <v>845407</v>
      </c>
      <c r="E275" s="72">
        <f t="shared" si="31"/>
        <v>7600</v>
      </c>
      <c r="F275" s="72">
        <f t="shared" si="31"/>
        <v>1604582</v>
      </c>
      <c r="G275" s="72">
        <f t="shared" si="31"/>
        <v>406347</v>
      </c>
      <c r="H275" s="166">
        <f t="shared" si="31"/>
        <v>3177400</v>
      </c>
    </row>
    <row r="276" spans="1:8" ht="15" customHeight="1" x14ac:dyDescent="0.3">
      <c r="A276" s="52"/>
      <c r="B276" s="68" t="s">
        <v>103</v>
      </c>
      <c r="C276" s="99"/>
      <c r="D276" s="73">
        <f t="shared" ref="D276:D307" si="32">H276-E276-G276-F276-C276</f>
        <v>46321</v>
      </c>
      <c r="E276" s="73">
        <v>5000</v>
      </c>
      <c r="F276" s="73"/>
      <c r="G276" s="73"/>
      <c r="H276" s="125">
        <f>'4.pielikums'!B424</f>
        <v>51321</v>
      </c>
    </row>
    <row r="277" spans="1:8" ht="15" customHeight="1" x14ac:dyDescent="0.3">
      <c r="A277" s="53"/>
      <c r="B277" s="75" t="s">
        <v>44</v>
      </c>
      <c r="C277" s="99">
        <v>0</v>
      </c>
      <c r="D277" s="73">
        <f t="shared" si="32"/>
        <v>274</v>
      </c>
      <c r="E277" s="73"/>
      <c r="F277" s="139">
        <v>35246</v>
      </c>
      <c r="G277" s="139"/>
      <c r="H277" s="125">
        <f>'4.pielikums'!B426</f>
        <v>35520</v>
      </c>
    </row>
    <row r="278" spans="1:8" ht="15" customHeight="1" x14ac:dyDescent="0.3">
      <c r="A278" s="53"/>
      <c r="B278" s="111" t="s">
        <v>133</v>
      </c>
      <c r="C278" s="99"/>
      <c r="D278" s="73">
        <f t="shared" si="32"/>
        <v>21122</v>
      </c>
      <c r="E278" s="73"/>
      <c r="F278" s="73"/>
      <c r="G278" s="73"/>
      <c r="H278" s="125">
        <f>'4.pielikums'!B428</f>
        <v>21122</v>
      </c>
    </row>
    <row r="279" spans="1:8" ht="21" customHeight="1" x14ac:dyDescent="0.3">
      <c r="A279" s="53"/>
      <c r="B279" s="119" t="s">
        <v>119</v>
      </c>
      <c r="C279" s="99"/>
      <c r="D279" s="73">
        <f t="shared" si="32"/>
        <v>22630</v>
      </c>
      <c r="E279" s="73"/>
      <c r="F279" s="73"/>
      <c r="G279" s="73"/>
      <c r="H279" s="125">
        <f>'4.pielikums'!B430</f>
        <v>22630</v>
      </c>
    </row>
    <row r="280" spans="1:8" ht="15" customHeight="1" x14ac:dyDescent="0.3">
      <c r="A280" s="52"/>
      <c r="B280" s="119" t="s">
        <v>120</v>
      </c>
      <c r="C280" s="99"/>
      <c r="D280" s="73">
        <f t="shared" si="32"/>
        <v>24304</v>
      </c>
      <c r="E280" s="73"/>
      <c r="F280" s="73"/>
      <c r="G280" s="73"/>
      <c r="H280" s="125">
        <f>'4.pielikums'!B432</f>
        <v>24304</v>
      </c>
    </row>
    <row r="281" spans="1:8" ht="15" customHeight="1" x14ac:dyDescent="0.3">
      <c r="A281" s="52"/>
      <c r="B281" s="119" t="s">
        <v>116</v>
      </c>
      <c r="C281" s="99"/>
      <c r="D281" s="73">
        <f t="shared" si="32"/>
        <v>24679</v>
      </c>
      <c r="E281" s="73"/>
      <c r="F281" s="73"/>
      <c r="G281" s="73"/>
      <c r="H281" s="125">
        <f>'4.pielikums'!B434</f>
        <v>24679</v>
      </c>
    </row>
    <row r="282" spans="1:8" ht="15" customHeight="1" x14ac:dyDescent="0.3">
      <c r="A282" s="52"/>
      <c r="B282" s="119" t="s">
        <v>136</v>
      </c>
      <c r="C282" s="99"/>
      <c r="D282" s="73">
        <f t="shared" si="32"/>
        <v>22522</v>
      </c>
      <c r="E282" s="73"/>
      <c r="F282" s="73"/>
      <c r="G282" s="73"/>
      <c r="H282" s="125">
        <f>'4.pielikums'!B436</f>
        <v>22522</v>
      </c>
    </row>
    <row r="283" spans="1:8" ht="15" customHeight="1" x14ac:dyDescent="0.3">
      <c r="A283" s="52"/>
      <c r="B283" s="119" t="s">
        <v>118</v>
      </c>
      <c r="C283" s="99"/>
      <c r="D283" s="73">
        <f t="shared" si="32"/>
        <v>21779</v>
      </c>
      <c r="E283" s="73"/>
      <c r="F283" s="73"/>
      <c r="G283" s="73"/>
      <c r="H283" s="125">
        <f>'4.pielikums'!B438</f>
        <v>21779</v>
      </c>
    </row>
    <row r="284" spans="1:8" ht="15" customHeight="1" x14ac:dyDescent="0.3">
      <c r="A284" s="52"/>
      <c r="B284" s="120" t="s">
        <v>126</v>
      </c>
      <c r="C284" s="99"/>
      <c r="D284" s="73">
        <f t="shared" si="32"/>
        <v>115426</v>
      </c>
      <c r="E284" s="73"/>
      <c r="F284" s="73"/>
      <c r="G284" s="73"/>
      <c r="H284" s="125">
        <f>'4.pielikums'!B440</f>
        <v>115426</v>
      </c>
    </row>
    <row r="285" spans="1:8" ht="15" customHeight="1" x14ac:dyDescent="0.3">
      <c r="A285" s="52"/>
      <c r="B285" s="119" t="s">
        <v>93</v>
      </c>
      <c r="C285" s="99"/>
      <c r="D285" s="73">
        <f t="shared" si="32"/>
        <v>72452</v>
      </c>
      <c r="E285" s="73">
        <v>1700</v>
      </c>
      <c r="F285" s="73"/>
      <c r="G285" s="73"/>
      <c r="H285" s="125">
        <f>'4.pielikums'!B442</f>
        <v>74152</v>
      </c>
    </row>
    <row r="286" spans="1:8" ht="15" customHeight="1" x14ac:dyDescent="0.3">
      <c r="A286" s="52"/>
      <c r="B286" s="119" t="s">
        <v>137</v>
      </c>
      <c r="C286" s="99"/>
      <c r="D286" s="73">
        <f t="shared" si="32"/>
        <v>28319</v>
      </c>
      <c r="E286" s="73"/>
      <c r="F286" s="73"/>
      <c r="G286" s="73"/>
      <c r="H286" s="125">
        <f>'4.pielikums'!B444</f>
        <v>28319</v>
      </c>
    </row>
    <row r="287" spans="1:8" ht="15" customHeight="1" x14ac:dyDescent="0.3">
      <c r="A287" s="52"/>
      <c r="B287" s="119" t="s">
        <v>132</v>
      </c>
      <c r="C287" s="99"/>
      <c r="D287" s="73">
        <f t="shared" si="32"/>
        <v>23340</v>
      </c>
      <c r="E287" s="73"/>
      <c r="F287" s="73"/>
      <c r="G287" s="73"/>
      <c r="H287" s="125">
        <f>'4.pielikums'!B446</f>
        <v>23340</v>
      </c>
    </row>
    <row r="288" spans="1:8" ht="15" customHeight="1" x14ac:dyDescent="0.3">
      <c r="A288" s="52"/>
      <c r="B288" s="119" t="s">
        <v>134</v>
      </c>
      <c r="C288" s="99"/>
      <c r="D288" s="73">
        <f t="shared" si="32"/>
        <v>49918</v>
      </c>
      <c r="E288" s="73">
        <v>900</v>
      </c>
      <c r="F288" s="73"/>
      <c r="G288" s="73"/>
      <c r="H288" s="125">
        <f>'4.pielikums'!B448</f>
        <v>50818</v>
      </c>
    </row>
    <row r="289" spans="1:8" ht="15" customHeight="1" x14ac:dyDescent="0.3">
      <c r="A289" s="52"/>
      <c r="B289" s="119" t="s">
        <v>125</v>
      </c>
      <c r="C289" s="99"/>
      <c r="D289" s="73">
        <f t="shared" si="32"/>
        <v>27789</v>
      </c>
      <c r="E289" s="73"/>
      <c r="F289" s="73"/>
      <c r="G289" s="73"/>
      <c r="H289" s="125">
        <f>'4.pielikums'!B450</f>
        <v>27789</v>
      </c>
    </row>
    <row r="290" spans="1:8" ht="15" customHeight="1" x14ac:dyDescent="0.3">
      <c r="A290" s="52"/>
      <c r="B290" s="68" t="s">
        <v>34</v>
      </c>
      <c r="C290" s="99"/>
      <c r="D290" s="73">
        <f t="shared" si="32"/>
        <v>15700</v>
      </c>
      <c r="E290" s="73"/>
      <c r="F290" s="73"/>
      <c r="G290" s="73"/>
      <c r="H290" s="125">
        <f>'4.pielikums'!B452</f>
        <v>15700</v>
      </c>
    </row>
    <row r="291" spans="1:8" ht="30" customHeight="1" x14ac:dyDescent="0.3">
      <c r="A291" s="52"/>
      <c r="B291" s="92" t="s">
        <v>58</v>
      </c>
      <c r="C291" s="99"/>
      <c r="D291" s="73">
        <f t="shared" si="32"/>
        <v>150000</v>
      </c>
      <c r="E291" s="73"/>
      <c r="F291" s="73"/>
      <c r="G291" s="73"/>
      <c r="H291" s="125">
        <f>'4.pielikums'!B454</f>
        <v>150000</v>
      </c>
    </row>
    <row r="292" spans="1:8" ht="30" customHeight="1" x14ac:dyDescent="0.3">
      <c r="A292" s="52"/>
      <c r="B292" s="92" t="s">
        <v>700</v>
      </c>
      <c r="C292" s="99">
        <v>6629</v>
      </c>
      <c r="D292" s="73">
        <f t="shared" si="32"/>
        <v>0</v>
      </c>
      <c r="E292" s="73"/>
      <c r="F292" s="73"/>
      <c r="G292" s="73"/>
      <c r="H292" s="125">
        <f>'4.pielikums'!B456</f>
        <v>6629</v>
      </c>
    </row>
    <row r="293" spans="1:8" ht="30" customHeight="1" x14ac:dyDescent="0.3">
      <c r="A293" s="54"/>
      <c r="B293" s="92" t="s">
        <v>659</v>
      </c>
      <c r="C293" s="99">
        <v>7454</v>
      </c>
      <c r="D293" s="73">
        <f t="shared" si="32"/>
        <v>19806</v>
      </c>
      <c r="E293" s="73"/>
      <c r="F293" s="73"/>
      <c r="G293" s="73"/>
      <c r="H293" s="125">
        <f>'4.pielikums'!B458</f>
        <v>27260</v>
      </c>
    </row>
    <row r="294" spans="1:8" ht="30" customHeight="1" x14ac:dyDescent="0.3">
      <c r="A294" s="54"/>
      <c r="B294" s="75" t="s">
        <v>95</v>
      </c>
      <c r="C294" s="99">
        <v>15304</v>
      </c>
      <c r="D294" s="73">
        <f t="shared" si="32"/>
        <v>0</v>
      </c>
      <c r="E294" s="73"/>
      <c r="F294" s="73"/>
      <c r="G294" s="73"/>
      <c r="H294" s="125">
        <f>'4.pielikums'!B460</f>
        <v>15304</v>
      </c>
    </row>
    <row r="295" spans="1:8" ht="30" customHeight="1" x14ac:dyDescent="0.3">
      <c r="A295" s="54"/>
      <c r="B295" s="75" t="s">
        <v>701</v>
      </c>
      <c r="C295" s="99">
        <v>17449</v>
      </c>
      <c r="D295" s="73">
        <f t="shared" si="32"/>
        <v>17449</v>
      </c>
      <c r="E295" s="73"/>
      <c r="F295" s="73">
        <v>51727</v>
      </c>
      <c r="G295" s="73"/>
      <c r="H295" s="125">
        <f>'4.pielikums'!B476</f>
        <v>86625</v>
      </c>
    </row>
    <row r="296" spans="1:8" ht="61.5" customHeight="1" x14ac:dyDescent="0.3">
      <c r="A296" s="54"/>
      <c r="B296" s="135" t="s">
        <v>704</v>
      </c>
      <c r="C296" s="99">
        <v>63246</v>
      </c>
      <c r="D296" s="73">
        <f t="shared" si="32"/>
        <v>0</v>
      </c>
      <c r="E296" s="73"/>
      <c r="F296" s="73"/>
      <c r="G296" s="73"/>
      <c r="H296" s="125">
        <f>'4.pielikums'!B464</f>
        <v>63246</v>
      </c>
    </row>
    <row r="297" spans="1:8" ht="61.5" customHeight="1" x14ac:dyDescent="0.3">
      <c r="A297" s="54"/>
      <c r="B297" s="135" t="s">
        <v>706</v>
      </c>
      <c r="C297" s="99">
        <v>24476</v>
      </c>
      <c r="D297" s="73">
        <f t="shared" si="32"/>
        <v>9052</v>
      </c>
      <c r="E297" s="73"/>
      <c r="F297" s="73"/>
      <c r="G297" s="73"/>
      <c r="H297" s="125">
        <f>'4.pielikums'!B546</f>
        <v>33528</v>
      </c>
    </row>
    <row r="298" spans="1:8" ht="29.25" customHeight="1" x14ac:dyDescent="0.3">
      <c r="A298" s="54"/>
      <c r="B298" s="135" t="s">
        <v>792</v>
      </c>
      <c r="C298" s="99">
        <v>10793</v>
      </c>
      <c r="D298" s="73">
        <f t="shared" si="32"/>
        <v>0</v>
      </c>
      <c r="E298" s="73"/>
      <c r="F298" s="73">
        <v>20000</v>
      </c>
      <c r="G298" s="73"/>
      <c r="H298" s="125">
        <f>'4.pielikums'!B532</f>
        <v>30793</v>
      </c>
    </row>
    <row r="299" spans="1:8" ht="42.75" customHeight="1" x14ac:dyDescent="0.3">
      <c r="A299" s="54"/>
      <c r="B299" s="135" t="s">
        <v>703</v>
      </c>
      <c r="C299" s="99">
        <v>33358</v>
      </c>
      <c r="D299" s="73">
        <f t="shared" si="32"/>
        <v>0</v>
      </c>
      <c r="E299" s="73"/>
      <c r="F299" s="73">
        <v>41520</v>
      </c>
      <c r="G299" s="73"/>
      <c r="H299" s="125">
        <f>'4.pielikums'!B534</f>
        <v>74878</v>
      </c>
    </row>
    <row r="300" spans="1:8" ht="45" customHeight="1" x14ac:dyDescent="0.3">
      <c r="A300" s="54"/>
      <c r="B300" s="135" t="s">
        <v>699</v>
      </c>
      <c r="C300" s="99">
        <v>7450</v>
      </c>
      <c r="D300" s="73">
        <f t="shared" si="32"/>
        <v>0</v>
      </c>
      <c r="E300" s="73"/>
      <c r="F300" s="73"/>
      <c r="G300" s="73"/>
      <c r="H300" s="125">
        <f>'4.pielikums'!B462</f>
        <v>7450</v>
      </c>
    </row>
    <row r="301" spans="1:8" ht="50.25" customHeight="1" x14ac:dyDescent="0.3">
      <c r="A301" s="54"/>
      <c r="B301" s="135" t="s">
        <v>705</v>
      </c>
      <c r="C301" s="99"/>
      <c r="D301" s="73">
        <f t="shared" si="32"/>
        <v>0</v>
      </c>
      <c r="E301" s="73"/>
      <c r="F301" s="73">
        <v>10275</v>
      </c>
      <c r="G301" s="73"/>
      <c r="H301" s="125">
        <f>'4.pielikums'!B466</f>
        <v>10275</v>
      </c>
    </row>
    <row r="302" spans="1:8" ht="66.75" customHeight="1" x14ac:dyDescent="0.3">
      <c r="A302" s="54"/>
      <c r="B302" s="136" t="s">
        <v>693</v>
      </c>
      <c r="C302" s="99">
        <v>0</v>
      </c>
      <c r="D302" s="73">
        <f t="shared" si="32"/>
        <v>0</v>
      </c>
      <c r="E302" s="73"/>
      <c r="F302" s="73">
        <v>668552</v>
      </c>
      <c r="G302" s="73">
        <v>117980</v>
      </c>
      <c r="H302" s="125">
        <f>'4.pielikums'!B530</f>
        <v>786532</v>
      </c>
    </row>
    <row r="303" spans="1:8" ht="37.5" customHeight="1" x14ac:dyDescent="0.3">
      <c r="A303" s="54"/>
      <c r="B303" s="136" t="s">
        <v>698</v>
      </c>
      <c r="C303" s="99">
        <v>50105</v>
      </c>
      <c r="D303" s="73">
        <f t="shared" si="32"/>
        <v>17160</v>
      </c>
      <c r="E303" s="73"/>
      <c r="F303" s="73"/>
      <c r="G303" s="73"/>
      <c r="H303" s="125">
        <f>'4.pielikums'!B558</f>
        <v>67265</v>
      </c>
    </row>
    <row r="304" spans="1:8" ht="51.75" customHeight="1" x14ac:dyDescent="0.3">
      <c r="A304" s="54"/>
      <c r="B304" s="136" t="s">
        <v>709</v>
      </c>
      <c r="C304" s="99">
        <v>4386</v>
      </c>
      <c r="D304" s="73">
        <f t="shared" si="32"/>
        <v>1324</v>
      </c>
      <c r="E304" s="73"/>
      <c r="F304" s="73"/>
      <c r="G304" s="73"/>
      <c r="H304" s="125">
        <f>'4.pielikums'!B468</f>
        <v>5710</v>
      </c>
    </row>
    <row r="305" spans="1:8" ht="38.25" customHeight="1" x14ac:dyDescent="0.3">
      <c r="A305" s="54"/>
      <c r="B305" s="136" t="s">
        <v>794</v>
      </c>
      <c r="C305" s="99">
        <v>50000</v>
      </c>
      <c r="D305" s="73">
        <f t="shared" si="32"/>
        <v>25783</v>
      </c>
      <c r="E305" s="73"/>
      <c r="F305" s="73"/>
      <c r="G305" s="73"/>
      <c r="H305" s="125">
        <f>'4.pielikums'!B474</f>
        <v>75783</v>
      </c>
    </row>
    <row r="306" spans="1:8" ht="35.25" customHeight="1" x14ac:dyDescent="0.3">
      <c r="A306" s="54"/>
      <c r="B306" s="136" t="s">
        <v>748</v>
      </c>
      <c r="C306" s="99"/>
      <c r="D306" s="73">
        <f t="shared" si="32"/>
        <v>0</v>
      </c>
      <c r="E306" s="73"/>
      <c r="F306" s="73">
        <v>612779</v>
      </c>
      <c r="G306" s="73">
        <v>288367</v>
      </c>
      <c r="H306" s="125">
        <f>'4.pielikums'!B560</f>
        <v>901146</v>
      </c>
    </row>
    <row r="307" spans="1:8" ht="36.75" customHeight="1" x14ac:dyDescent="0.3">
      <c r="A307" s="54"/>
      <c r="B307" s="136" t="s">
        <v>565</v>
      </c>
      <c r="C307" s="99">
        <v>7351</v>
      </c>
      <c r="D307" s="73">
        <f t="shared" si="32"/>
        <v>0</v>
      </c>
      <c r="E307" s="73"/>
      <c r="F307" s="73"/>
      <c r="G307" s="73"/>
      <c r="H307" s="125">
        <f>'4.pielikums'!B556</f>
        <v>7351</v>
      </c>
    </row>
    <row r="308" spans="1:8" ht="36.75" customHeight="1" x14ac:dyDescent="0.3">
      <c r="A308" s="54"/>
      <c r="B308" s="136" t="s">
        <v>617</v>
      </c>
      <c r="C308" s="99">
        <v>7824</v>
      </c>
      <c r="D308" s="73">
        <f t="shared" ref="D308:D333" si="33">H308-E308-G308-F308-C308</f>
        <v>0</v>
      </c>
      <c r="E308" s="73"/>
      <c r="F308" s="73">
        <v>70000</v>
      </c>
      <c r="G308" s="73"/>
      <c r="H308" s="125">
        <f>'4.pielikums'!B470</f>
        <v>77824</v>
      </c>
    </row>
    <row r="309" spans="1:8" ht="94.5" customHeight="1" x14ac:dyDescent="0.3">
      <c r="A309" s="54"/>
      <c r="B309" s="136" t="s">
        <v>795</v>
      </c>
      <c r="C309" s="99"/>
      <c r="D309" s="73">
        <f t="shared" si="33"/>
        <v>52600</v>
      </c>
      <c r="E309" s="73"/>
      <c r="F309" s="73"/>
      <c r="G309" s="73"/>
      <c r="H309" s="125">
        <f>'4.pielikums'!B472</f>
        <v>52600</v>
      </c>
    </row>
    <row r="310" spans="1:8" ht="32.25" customHeight="1" x14ac:dyDescent="0.3">
      <c r="A310" s="54"/>
      <c r="B310" s="136" t="s">
        <v>619</v>
      </c>
      <c r="C310" s="99">
        <v>7639</v>
      </c>
      <c r="D310" s="73">
        <f t="shared" si="33"/>
        <v>0</v>
      </c>
      <c r="E310" s="73"/>
      <c r="F310" s="73">
        <v>5555</v>
      </c>
      <c r="G310" s="73"/>
      <c r="H310" s="125">
        <f>'4.pielikums'!B554</f>
        <v>13194</v>
      </c>
    </row>
    <row r="311" spans="1:8" ht="47.25" customHeight="1" x14ac:dyDescent="0.3">
      <c r="A311" s="54"/>
      <c r="B311" s="136" t="s">
        <v>695</v>
      </c>
      <c r="C311" s="99"/>
      <c r="D311" s="73">
        <f t="shared" si="33"/>
        <v>35058</v>
      </c>
      <c r="E311" s="73"/>
      <c r="F311" s="73"/>
      <c r="G311" s="73"/>
      <c r="H311" s="125">
        <f>'4.pielikums'!B572</f>
        <v>35058</v>
      </c>
    </row>
    <row r="312" spans="1:8" ht="47.25" customHeight="1" x14ac:dyDescent="0.3">
      <c r="A312" s="54"/>
      <c r="B312" s="136" t="s">
        <v>749</v>
      </c>
      <c r="C312" s="99"/>
      <c r="D312" s="73">
        <f t="shared" si="33"/>
        <v>0</v>
      </c>
      <c r="E312" s="73"/>
      <c r="F312" s="73">
        <v>6786</v>
      </c>
      <c r="G312" s="73"/>
      <c r="H312" s="125">
        <f>'4.pielikums'!B602</f>
        <v>6786</v>
      </c>
    </row>
    <row r="313" spans="1:8" ht="29.25" customHeight="1" x14ac:dyDescent="0.3">
      <c r="A313" s="54"/>
      <c r="B313" s="136" t="s">
        <v>757</v>
      </c>
      <c r="C313" s="99"/>
      <c r="D313" s="73">
        <f t="shared" si="33"/>
        <v>600</v>
      </c>
      <c r="E313" s="73"/>
      <c r="F313" s="73"/>
      <c r="G313" s="73"/>
      <c r="H313" s="125">
        <f>'4.pielikums'!B604</f>
        <v>600</v>
      </c>
    </row>
    <row r="314" spans="1:8" ht="33" customHeight="1" x14ac:dyDescent="0.3">
      <c r="A314" s="54"/>
      <c r="B314" s="136" t="s">
        <v>754</v>
      </c>
      <c r="C314" s="99"/>
      <c r="D314" s="73"/>
      <c r="E314" s="73"/>
      <c r="F314" s="73">
        <v>46136</v>
      </c>
      <c r="G314" s="73"/>
      <c r="H314" s="125">
        <f>'4.pielikums'!B610</f>
        <v>46136</v>
      </c>
    </row>
    <row r="315" spans="1:8" ht="35.25" customHeight="1" x14ac:dyDescent="0.3">
      <c r="A315" s="54"/>
      <c r="B315" s="136" t="s">
        <v>782</v>
      </c>
      <c r="C315" s="99"/>
      <c r="D315" s="73">
        <f t="shared" si="33"/>
        <v>0</v>
      </c>
      <c r="E315" s="73"/>
      <c r="F315" s="73">
        <v>36006</v>
      </c>
      <c r="G315" s="73"/>
      <c r="H315" s="125">
        <f>'4.pielikums'!B606</f>
        <v>36006</v>
      </c>
    </row>
    <row r="316" spans="1:8" ht="18.75" customHeight="1" x14ac:dyDescent="0.3">
      <c r="A316" s="19" t="s">
        <v>218</v>
      </c>
      <c r="B316" s="70" t="s">
        <v>219</v>
      </c>
      <c r="C316" s="72">
        <f>C317+C318</f>
        <v>7868</v>
      </c>
      <c r="D316" s="72">
        <f t="shared" si="33"/>
        <v>3537692</v>
      </c>
      <c r="E316" s="72">
        <f>E317+E318</f>
        <v>2118606</v>
      </c>
      <c r="F316" s="72">
        <f>F317+F318</f>
        <v>1295294</v>
      </c>
      <c r="G316" s="72">
        <f>G317+G318</f>
        <v>0</v>
      </c>
      <c r="H316" s="125">
        <f>H317+H318</f>
        <v>6959460</v>
      </c>
    </row>
    <row r="317" spans="1:8" ht="18" customHeight="1" x14ac:dyDescent="0.3">
      <c r="A317" s="19"/>
      <c r="B317" s="69" t="s">
        <v>36</v>
      </c>
      <c r="C317" s="89"/>
      <c r="D317" s="73">
        <f t="shared" si="33"/>
        <v>241064</v>
      </c>
      <c r="E317" s="73">
        <v>10000</v>
      </c>
      <c r="F317" s="73"/>
      <c r="G317" s="73"/>
      <c r="H317" s="125">
        <f>'4.pielikums'!B478</f>
        <v>251064</v>
      </c>
    </row>
    <row r="318" spans="1:8" ht="30" customHeight="1" x14ac:dyDescent="0.3">
      <c r="A318" s="57"/>
      <c r="B318" s="114" t="s">
        <v>220</v>
      </c>
      <c r="C318" s="72">
        <f>SUM(C319:C333)</f>
        <v>7868</v>
      </c>
      <c r="D318" s="72">
        <f t="shared" si="33"/>
        <v>3296628</v>
      </c>
      <c r="E318" s="72">
        <f>SUM(E319:E333)</f>
        <v>2108606</v>
      </c>
      <c r="F318" s="72">
        <f>SUM(F319:F333)</f>
        <v>1295294</v>
      </c>
      <c r="G318" s="72">
        <f>SUM(G319:G333)</f>
        <v>0</v>
      </c>
      <c r="H318" s="125">
        <f>SUM(H319:H333)</f>
        <v>6708396</v>
      </c>
    </row>
    <row r="319" spans="1:8" ht="15" customHeight="1" x14ac:dyDescent="0.3">
      <c r="A319" s="19"/>
      <c r="B319" s="69" t="s">
        <v>109</v>
      </c>
      <c r="C319" s="89"/>
      <c r="D319" s="73">
        <f t="shared" si="33"/>
        <v>688015</v>
      </c>
      <c r="E319" s="73">
        <v>1477</v>
      </c>
      <c r="F319" s="73"/>
      <c r="G319" s="73"/>
      <c r="H319" s="125">
        <f>'4.pielikums'!B480</f>
        <v>689492</v>
      </c>
    </row>
    <row r="320" spans="1:8" ht="15" customHeight="1" x14ac:dyDescent="0.3">
      <c r="A320" s="19"/>
      <c r="B320" s="69" t="s">
        <v>156</v>
      </c>
      <c r="C320" s="89"/>
      <c r="D320" s="73">
        <f t="shared" si="33"/>
        <v>1006880</v>
      </c>
      <c r="E320" s="73"/>
      <c r="F320" s="73">
        <v>392014</v>
      </c>
      <c r="G320" s="73"/>
      <c r="H320" s="125">
        <f>'4.pielikums'!B482</f>
        <v>1398894</v>
      </c>
    </row>
    <row r="321" spans="1:9" ht="15" customHeight="1" x14ac:dyDescent="0.3">
      <c r="A321" s="19"/>
      <c r="B321" s="69" t="s">
        <v>106</v>
      </c>
      <c r="C321" s="89"/>
      <c r="D321" s="73">
        <f t="shared" si="33"/>
        <v>19120</v>
      </c>
      <c r="E321" s="73"/>
      <c r="F321" s="73"/>
      <c r="G321" s="73"/>
      <c r="H321" s="125">
        <f>'4.pielikums'!B484</f>
        <v>19120</v>
      </c>
    </row>
    <row r="322" spans="1:9" ht="15" customHeight="1" x14ac:dyDescent="0.3">
      <c r="A322" s="19"/>
      <c r="B322" s="69" t="s">
        <v>37</v>
      </c>
      <c r="C322" s="89"/>
      <c r="D322" s="73">
        <f t="shared" si="33"/>
        <v>12938</v>
      </c>
      <c r="E322" s="73">
        <v>8689</v>
      </c>
      <c r="F322" s="73"/>
      <c r="G322" s="73"/>
      <c r="H322" s="125">
        <f>'4.pielikums'!B486</f>
        <v>21627</v>
      </c>
    </row>
    <row r="323" spans="1:9" ht="15" customHeight="1" x14ac:dyDescent="0.3">
      <c r="A323" s="19"/>
      <c r="B323" s="69" t="s">
        <v>43</v>
      </c>
      <c r="C323" s="89"/>
      <c r="D323" s="73">
        <f t="shared" si="33"/>
        <v>249882</v>
      </c>
      <c r="E323" s="73">
        <v>1300</v>
      </c>
      <c r="F323" s="73">
        <v>79833</v>
      </c>
      <c r="G323" s="73"/>
      <c r="H323" s="125">
        <f>'4.pielikums'!B488</f>
        <v>331015</v>
      </c>
    </row>
    <row r="324" spans="1:9" ht="15" customHeight="1" x14ac:dyDescent="0.3">
      <c r="A324" s="53"/>
      <c r="B324" s="69" t="s">
        <v>35</v>
      </c>
      <c r="C324" s="89"/>
      <c r="D324" s="73">
        <f t="shared" si="33"/>
        <v>479847</v>
      </c>
      <c r="E324" s="73">
        <v>1460316</v>
      </c>
      <c r="F324" s="73">
        <v>34128</v>
      </c>
      <c r="G324" s="73"/>
      <c r="H324" s="125">
        <f>'4.pielikums'!B490</f>
        <v>1974291</v>
      </c>
    </row>
    <row r="325" spans="1:9" ht="15" customHeight="1" x14ac:dyDescent="0.3">
      <c r="A325" s="53"/>
      <c r="B325" s="68" t="s">
        <v>69</v>
      </c>
      <c r="C325" s="99"/>
      <c r="D325" s="73">
        <f t="shared" si="33"/>
        <v>115081</v>
      </c>
      <c r="E325" s="73">
        <v>244817</v>
      </c>
      <c r="F325" s="73"/>
      <c r="G325" s="73"/>
      <c r="H325" s="125">
        <f>'4.pielikums'!B492</f>
        <v>359898</v>
      </c>
    </row>
    <row r="326" spans="1:9" ht="15" customHeight="1" x14ac:dyDescent="0.3">
      <c r="A326" s="53"/>
      <c r="B326" s="113" t="s">
        <v>71</v>
      </c>
      <c r="C326" s="99"/>
      <c r="D326" s="73">
        <f t="shared" si="33"/>
        <v>109933</v>
      </c>
      <c r="E326" s="73">
        <v>155098</v>
      </c>
      <c r="F326" s="73"/>
      <c r="G326" s="73"/>
      <c r="H326" s="125">
        <f>'4.pielikums'!B494</f>
        <v>265031</v>
      </c>
    </row>
    <row r="327" spans="1:9" ht="21" customHeight="1" x14ac:dyDescent="0.3">
      <c r="A327" s="53"/>
      <c r="B327" s="113" t="s">
        <v>70</v>
      </c>
      <c r="C327" s="99"/>
      <c r="D327" s="73">
        <f t="shared" si="33"/>
        <v>151901</v>
      </c>
      <c r="E327" s="73">
        <v>203456</v>
      </c>
      <c r="F327" s="73"/>
      <c r="G327" s="73"/>
      <c r="H327" s="125">
        <f>'4.pielikums'!B496</f>
        <v>355357</v>
      </c>
    </row>
    <row r="328" spans="1:9" ht="31.5" customHeight="1" x14ac:dyDescent="0.3">
      <c r="A328" s="53"/>
      <c r="B328" s="92" t="s">
        <v>61</v>
      </c>
      <c r="C328" s="99"/>
      <c r="D328" s="73">
        <f t="shared" si="33"/>
        <v>247459</v>
      </c>
      <c r="E328" s="73">
        <v>24815</v>
      </c>
      <c r="F328" s="73"/>
      <c r="G328" s="73"/>
      <c r="H328" s="125">
        <f>'4.pielikums'!B498</f>
        <v>272274</v>
      </c>
    </row>
    <row r="329" spans="1:9" ht="30" customHeight="1" x14ac:dyDescent="0.3">
      <c r="A329" s="53"/>
      <c r="B329" s="76" t="s">
        <v>110</v>
      </c>
      <c r="C329" s="99"/>
      <c r="D329" s="73">
        <f t="shared" si="33"/>
        <v>71906</v>
      </c>
      <c r="E329" s="73"/>
      <c r="F329" s="73"/>
      <c r="G329" s="73"/>
      <c r="H329" s="125">
        <f>'4.pielikums'!B500</f>
        <v>71906</v>
      </c>
    </row>
    <row r="330" spans="1:9" ht="30" customHeight="1" x14ac:dyDescent="0.3">
      <c r="A330" s="53"/>
      <c r="B330" s="75" t="s">
        <v>111</v>
      </c>
      <c r="C330" s="99"/>
      <c r="D330" s="73">
        <f t="shared" si="33"/>
        <v>140284</v>
      </c>
      <c r="E330" s="73">
        <v>8638</v>
      </c>
      <c r="F330" s="73"/>
      <c r="G330" s="73"/>
      <c r="H330" s="125">
        <f>'4.pielikums'!B502</f>
        <v>148922</v>
      </c>
    </row>
    <row r="331" spans="1:9" ht="30" customHeight="1" x14ac:dyDescent="0.3">
      <c r="A331" s="53"/>
      <c r="B331" s="92" t="s">
        <v>222</v>
      </c>
      <c r="C331" s="99"/>
      <c r="D331" s="73">
        <f t="shared" si="33"/>
        <v>0</v>
      </c>
      <c r="E331" s="73"/>
      <c r="F331" s="73">
        <v>778685</v>
      </c>
      <c r="G331" s="73"/>
      <c r="H331" s="125">
        <f>'4.pielikums'!B504</f>
        <v>778685</v>
      </c>
    </row>
    <row r="332" spans="1:9" ht="30" customHeight="1" x14ac:dyDescent="0.3">
      <c r="A332" s="53"/>
      <c r="B332" s="68" t="s">
        <v>681</v>
      </c>
      <c r="C332" s="99">
        <v>7868</v>
      </c>
      <c r="D332" s="73">
        <f t="shared" si="33"/>
        <v>232</v>
      </c>
      <c r="E332" s="73"/>
      <c r="F332" s="73">
        <v>10634</v>
      </c>
      <c r="G332" s="73"/>
      <c r="H332" s="125">
        <f>'4.pielikums'!B506</f>
        <v>18734</v>
      </c>
    </row>
    <row r="333" spans="1:9" ht="30" customHeight="1" x14ac:dyDescent="0.3">
      <c r="A333" s="53"/>
      <c r="B333" s="113" t="s">
        <v>221</v>
      </c>
      <c r="C333" s="99"/>
      <c r="D333" s="73">
        <f t="shared" si="33"/>
        <v>3150</v>
      </c>
      <c r="E333" s="73"/>
      <c r="F333" s="73"/>
      <c r="G333" s="73"/>
      <c r="H333" s="125">
        <f>'4.pielikums'!B508+'4.pielikums'!B510+'4.pielikums'!B512+'4.pielikums'!B514</f>
        <v>3150</v>
      </c>
    </row>
    <row r="334" spans="1:9" x14ac:dyDescent="0.3">
      <c r="B334" s="91"/>
      <c r="C334" s="81"/>
      <c r="H334" s="100"/>
      <c r="I334" s="60"/>
    </row>
    <row r="335" spans="1:9" ht="18" customHeight="1" x14ac:dyDescent="0.3">
      <c r="A335" s="210" t="s">
        <v>796</v>
      </c>
      <c r="B335" s="210"/>
      <c r="C335" s="210"/>
      <c r="D335" s="210"/>
      <c r="E335" s="210"/>
      <c r="F335" s="210"/>
      <c r="G335" s="210"/>
      <c r="H335" s="210"/>
    </row>
    <row r="336" spans="1:9" x14ac:dyDescent="0.3">
      <c r="B336" s="78"/>
      <c r="C336" s="81"/>
      <c r="H336"/>
    </row>
    <row r="337" spans="8:8" x14ac:dyDescent="0.3">
      <c r="H337"/>
    </row>
    <row r="338" spans="8:8" x14ac:dyDescent="0.3">
      <c r="H338"/>
    </row>
    <row r="339" spans="8:8" x14ac:dyDescent="0.3">
      <c r="H339"/>
    </row>
    <row r="340" spans="8:8" x14ac:dyDescent="0.3">
      <c r="H340"/>
    </row>
    <row r="341" spans="8:8" x14ac:dyDescent="0.3">
      <c r="H341"/>
    </row>
    <row r="342" spans="8:8" x14ac:dyDescent="0.3">
      <c r="H342"/>
    </row>
    <row r="343" spans="8:8" x14ac:dyDescent="0.3">
      <c r="H343"/>
    </row>
    <row r="344" spans="8:8" x14ac:dyDescent="0.3">
      <c r="H344"/>
    </row>
    <row r="345" spans="8:8" x14ac:dyDescent="0.3">
      <c r="H345"/>
    </row>
    <row r="346" spans="8:8" x14ac:dyDescent="0.3">
      <c r="H346"/>
    </row>
    <row r="347" spans="8:8" x14ac:dyDescent="0.3">
      <c r="H347"/>
    </row>
    <row r="348" spans="8:8" x14ac:dyDescent="0.3">
      <c r="H348"/>
    </row>
    <row r="349" spans="8:8" x14ac:dyDescent="0.3">
      <c r="H349"/>
    </row>
    <row r="350" spans="8:8" x14ac:dyDescent="0.3">
      <c r="H350"/>
    </row>
    <row r="351" spans="8:8" x14ac:dyDescent="0.3">
      <c r="H351"/>
    </row>
    <row r="352" spans="8:8" x14ac:dyDescent="0.3">
      <c r="H352"/>
    </row>
    <row r="353" spans="8:8" x14ac:dyDescent="0.3">
      <c r="H353"/>
    </row>
    <row r="354" spans="8:8" x14ac:dyDescent="0.3">
      <c r="H354"/>
    </row>
    <row r="355" spans="8:8" x14ac:dyDescent="0.3">
      <c r="H355"/>
    </row>
  </sheetData>
  <mergeCells count="4">
    <mergeCell ref="H14:H15"/>
    <mergeCell ref="B14:B15"/>
    <mergeCell ref="A14:A15"/>
    <mergeCell ref="A335:H335"/>
  </mergeCells>
  <pageMargins left="0.25" right="0.25" top="0.75" bottom="0.75" header="0.3" footer="0.3"/>
  <pageSetup paperSize="9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apa4">
    <pageSetUpPr fitToPage="1"/>
  </sheetPr>
  <dimension ref="A1:R626"/>
  <sheetViews>
    <sheetView tabSelected="1" zoomScale="78" zoomScaleNormal="78" workbookViewId="0">
      <pane xSplit="1" ySplit="17" topLeftCell="B564" activePane="bottomRight" state="frozen"/>
      <selection pane="topRight" activeCell="B1" sqref="B1"/>
      <selection pane="bottomLeft" activeCell="A13" sqref="A13"/>
      <selection pane="bottomRight" activeCell="I325" sqref="I325"/>
    </sheetView>
  </sheetViews>
  <sheetFormatPr defaultColWidth="9.109375" defaultRowHeight="15.6" x14ac:dyDescent="0.3"/>
  <cols>
    <col min="1" max="1" width="44" style="187" customWidth="1"/>
    <col min="2" max="2" width="14.5546875" style="179" customWidth="1"/>
    <col min="3" max="3" width="15.88671875" style="179" customWidth="1"/>
    <col min="4" max="4" width="13.109375" style="179" customWidth="1"/>
    <col min="5" max="5" width="13" style="179" customWidth="1"/>
    <col min="6" max="6" width="13.6640625" style="179" customWidth="1"/>
    <col min="7" max="7" width="14.5546875" style="16" customWidth="1"/>
    <col min="8" max="8" width="12.5546875" style="16" customWidth="1"/>
    <col min="9" max="9" width="13.44140625" style="16" customWidth="1"/>
    <col min="10" max="10" width="10.5546875" style="16" customWidth="1"/>
    <col min="11" max="11" width="11.33203125" style="16" customWidth="1"/>
    <col min="12" max="12" width="15.6640625" style="16" customWidth="1"/>
    <col min="13" max="13" width="13.5546875" style="16" customWidth="1"/>
    <col min="14" max="14" width="14.33203125" style="16" customWidth="1"/>
    <col min="15" max="15" width="14" style="16" customWidth="1"/>
    <col min="16" max="16" width="11.33203125" style="179" bestFit="1" customWidth="1"/>
    <col min="17" max="17" width="10.109375" style="61" bestFit="1" customWidth="1"/>
    <col min="18" max="16384" width="9.109375" style="61"/>
  </cols>
  <sheetData>
    <row r="1" spans="1:16" x14ac:dyDescent="0.3">
      <c r="P1" s="101" t="s">
        <v>798</v>
      </c>
    </row>
    <row r="2" spans="1:16" x14ac:dyDescent="0.3">
      <c r="P2" s="101" t="s">
        <v>543</v>
      </c>
    </row>
    <row r="3" spans="1:16" x14ac:dyDescent="0.3">
      <c r="P3" s="101" t="s">
        <v>759</v>
      </c>
    </row>
    <row r="4" spans="1:16" x14ac:dyDescent="0.3">
      <c r="P4" s="101" t="s">
        <v>760</v>
      </c>
    </row>
    <row r="5" spans="1:16" x14ac:dyDescent="0.3">
      <c r="P5" s="101" t="s">
        <v>761</v>
      </c>
    </row>
    <row r="6" spans="1:16" x14ac:dyDescent="0.3">
      <c r="A6" s="3"/>
      <c r="B6" s="5"/>
      <c r="C6" s="5"/>
      <c r="D6" s="5"/>
      <c r="E6" s="16"/>
      <c r="P6" s="180"/>
    </row>
    <row r="7" spans="1:16" ht="15.75" customHeight="1" x14ac:dyDescent="0.3">
      <c r="A7" s="3"/>
      <c r="B7" s="5"/>
      <c r="C7" s="5"/>
      <c r="D7" s="5"/>
      <c r="E7" s="16"/>
      <c r="P7" s="101" t="s">
        <v>798</v>
      </c>
    </row>
    <row r="8" spans="1:16" ht="16.5" customHeight="1" x14ac:dyDescent="0.3">
      <c r="A8" s="3"/>
      <c r="B8" s="5"/>
      <c r="C8" s="5"/>
      <c r="D8" s="5"/>
      <c r="E8" s="16"/>
      <c r="P8" s="101" t="s">
        <v>543</v>
      </c>
    </row>
    <row r="9" spans="1:16" ht="15" customHeight="1" x14ac:dyDescent="0.3">
      <c r="A9" s="3"/>
      <c r="B9" s="5"/>
      <c r="C9" s="5"/>
      <c r="D9" s="5"/>
      <c r="E9" s="16"/>
      <c r="P9" s="101" t="s">
        <v>799</v>
      </c>
    </row>
    <row r="10" spans="1:16" ht="15" customHeight="1" x14ac:dyDescent="0.3">
      <c r="A10" s="3"/>
      <c r="B10" s="5"/>
      <c r="C10" s="5"/>
      <c r="D10" s="5"/>
      <c r="E10" s="16"/>
      <c r="P10" s="101" t="s">
        <v>763</v>
      </c>
    </row>
    <row r="11" spans="1:16" ht="15" customHeight="1" x14ac:dyDescent="0.3">
      <c r="A11" s="3"/>
      <c r="C11" s="16"/>
      <c r="D11" s="16"/>
      <c r="E11" s="16"/>
    </row>
    <row r="12" spans="1:16" ht="15" customHeight="1" x14ac:dyDescent="0.3">
      <c r="A12" s="3"/>
      <c r="B12" s="15" t="s">
        <v>800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ht="15" customHeight="1" x14ac:dyDescent="0.3">
      <c r="A13" s="3"/>
      <c r="B13" s="173"/>
      <c r="C13" s="173"/>
      <c r="D13" s="173"/>
      <c r="E13" s="173"/>
      <c r="F13" s="173"/>
      <c r="G13" s="110"/>
      <c r="H13" s="110"/>
      <c r="I13" s="110"/>
      <c r="J13" s="110"/>
      <c r="K13" s="110"/>
      <c r="L13" s="110"/>
      <c r="M13" s="110"/>
      <c r="N13" s="110"/>
      <c r="O13" s="110"/>
    </row>
    <row r="14" spans="1:16" ht="15" customHeight="1" x14ac:dyDescent="0.3">
      <c r="A14" s="2"/>
      <c r="C14" s="4"/>
      <c r="D14" s="4"/>
      <c r="E14" s="4"/>
    </row>
    <row r="15" spans="1:16" ht="15" customHeight="1" x14ac:dyDescent="0.3">
      <c r="A15" s="8"/>
      <c r="B15" s="1"/>
      <c r="C15" s="141">
        <v>1000</v>
      </c>
      <c r="D15" s="63">
        <v>1100</v>
      </c>
      <c r="E15" s="63">
        <v>1200</v>
      </c>
      <c r="F15" s="142">
        <v>2000</v>
      </c>
      <c r="G15" s="143">
        <v>2100</v>
      </c>
      <c r="H15" s="143">
        <v>2200</v>
      </c>
      <c r="I15" s="143">
        <v>2300</v>
      </c>
      <c r="J15" s="143">
        <v>2400</v>
      </c>
      <c r="K15" s="143">
        <v>2500</v>
      </c>
      <c r="L15" s="143">
        <v>3000</v>
      </c>
      <c r="M15" s="143">
        <v>4000</v>
      </c>
      <c r="N15" s="144">
        <v>5000</v>
      </c>
      <c r="O15" s="145">
        <v>6000</v>
      </c>
      <c r="P15" s="145">
        <v>7000</v>
      </c>
    </row>
    <row r="16" spans="1:16" ht="15" customHeight="1" x14ac:dyDescent="0.3">
      <c r="A16" s="8"/>
      <c r="B16" s="1"/>
      <c r="C16" s="141"/>
      <c r="D16" s="63"/>
      <c r="E16" s="63"/>
      <c r="F16" s="142"/>
      <c r="G16" s="143"/>
      <c r="H16" s="143"/>
      <c r="I16" s="143"/>
      <c r="J16" s="143"/>
      <c r="K16" s="143"/>
      <c r="L16" s="143"/>
      <c r="M16" s="143"/>
      <c r="N16" s="144"/>
      <c r="O16" s="145"/>
      <c r="P16" s="145"/>
    </row>
    <row r="17" spans="1:16" ht="89.25" customHeight="1" x14ac:dyDescent="0.3">
      <c r="A17" s="8"/>
      <c r="B17" s="1"/>
      <c r="C17" s="146" t="s">
        <v>651</v>
      </c>
      <c r="D17" s="147" t="s">
        <v>638</v>
      </c>
      <c r="E17" s="147" t="s">
        <v>639</v>
      </c>
      <c r="F17" s="148" t="s">
        <v>640</v>
      </c>
      <c r="G17" s="145" t="s">
        <v>641</v>
      </c>
      <c r="H17" s="145" t="s">
        <v>642</v>
      </c>
      <c r="I17" s="145" t="s">
        <v>643</v>
      </c>
      <c r="J17" s="145" t="s">
        <v>644</v>
      </c>
      <c r="K17" s="145" t="s">
        <v>645</v>
      </c>
      <c r="L17" s="145" t="s">
        <v>646</v>
      </c>
      <c r="M17" s="145" t="s">
        <v>647</v>
      </c>
      <c r="N17" s="149" t="s">
        <v>648</v>
      </c>
      <c r="O17" s="145" t="s">
        <v>649</v>
      </c>
      <c r="P17" s="145" t="s">
        <v>650</v>
      </c>
    </row>
    <row r="18" spans="1:16" ht="24.75" customHeight="1" x14ac:dyDescent="0.35">
      <c r="A18" s="150" t="s">
        <v>0</v>
      </c>
      <c r="B18" s="151">
        <f>SUM(C18+F18,L18,M18,N18,O18,P18)</f>
        <v>1494473</v>
      </c>
      <c r="C18" s="152">
        <f>D18+E18</f>
        <v>1247401</v>
      </c>
      <c r="D18" s="153">
        <f>1031586+D19</f>
        <v>1026685</v>
      </c>
      <c r="E18" s="153">
        <f>220716+E19</f>
        <v>220716</v>
      </c>
      <c r="F18" s="154">
        <f>SUM(G18,H18,I18,J18,K18)</f>
        <v>222072</v>
      </c>
      <c r="G18" s="155">
        <f>1300+G19</f>
        <v>1300</v>
      </c>
      <c r="H18" s="155">
        <f>186924+H19</f>
        <v>191825</v>
      </c>
      <c r="I18" s="155">
        <f>27447+I19</f>
        <v>27447</v>
      </c>
      <c r="J18" s="155">
        <f>+J19</f>
        <v>0</v>
      </c>
      <c r="K18" s="155">
        <f>1500+K19</f>
        <v>1500</v>
      </c>
      <c r="L18" s="155">
        <f>+L19</f>
        <v>0</v>
      </c>
      <c r="M18" s="155">
        <f>+M19</f>
        <v>0</v>
      </c>
      <c r="N18" s="156">
        <f>25000+N19</f>
        <v>25000</v>
      </c>
      <c r="O18" s="155">
        <f>+O19</f>
        <v>0</v>
      </c>
      <c r="P18" s="63">
        <f>+P19</f>
        <v>0</v>
      </c>
    </row>
    <row r="19" spans="1:16" ht="15" customHeight="1" x14ac:dyDescent="0.35">
      <c r="A19" s="157" t="s">
        <v>724</v>
      </c>
      <c r="B19" s="151">
        <f t="shared" ref="B19:B82" si="0">SUM(C19+F19,L19,M19,N19,O19,P19)</f>
        <v>0</v>
      </c>
      <c r="C19" s="152">
        <f t="shared" ref="C19:C82" si="1">D19+E19</f>
        <v>-4901</v>
      </c>
      <c r="D19" s="153">
        <v>-4901</v>
      </c>
      <c r="E19" s="153"/>
      <c r="F19" s="154">
        <f t="shared" ref="F19:F82" si="2">SUM(G19,H19,I19,J19,K19)</f>
        <v>4901</v>
      </c>
      <c r="G19" s="155"/>
      <c r="H19" s="155">
        <v>4901</v>
      </c>
      <c r="I19" s="155"/>
      <c r="J19" s="155"/>
      <c r="K19" s="155"/>
      <c r="L19" s="155"/>
      <c r="M19" s="155"/>
      <c r="N19" s="156"/>
      <c r="O19" s="155"/>
      <c r="P19" s="63"/>
    </row>
    <row r="20" spans="1:16" ht="22.2" customHeight="1" x14ac:dyDescent="0.35">
      <c r="A20" s="150" t="s">
        <v>1</v>
      </c>
      <c r="B20" s="151">
        <f t="shared" si="0"/>
        <v>186403</v>
      </c>
      <c r="C20" s="152">
        <f t="shared" si="1"/>
        <v>186403</v>
      </c>
      <c r="D20" s="153">
        <f>D21+150823</f>
        <v>150823</v>
      </c>
      <c r="E20" s="153">
        <f>E21+35580</f>
        <v>35580</v>
      </c>
      <c r="F20" s="154">
        <f t="shared" si="2"/>
        <v>0</v>
      </c>
      <c r="G20" s="155">
        <f>+G21</f>
        <v>0</v>
      </c>
      <c r="H20" s="155">
        <f t="shared" ref="H20:M34" si="3">+H21</f>
        <v>0</v>
      </c>
      <c r="I20" s="155">
        <f t="shared" si="3"/>
        <v>0</v>
      </c>
      <c r="J20" s="155">
        <f t="shared" si="3"/>
        <v>0</v>
      </c>
      <c r="K20" s="155">
        <f t="shared" si="3"/>
        <v>0</v>
      </c>
      <c r="L20" s="155">
        <f>+L21</f>
        <v>0</v>
      </c>
      <c r="M20" s="155">
        <f t="shared" si="3"/>
        <v>0</v>
      </c>
      <c r="N20" s="156">
        <f>+N21</f>
        <v>0</v>
      </c>
      <c r="O20" s="155">
        <f>+O21</f>
        <v>0</v>
      </c>
      <c r="P20" s="155">
        <f>+P21</f>
        <v>0</v>
      </c>
    </row>
    <row r="21" spans="1:16" ht="15" customHeight="1" x14ac:dyDescent="0.35">
      <c r="A21" s="157" t="s">
        <v>724</v>
      </c>
      <c r="B21" s="151">
        <f t="shared" si="0"/>
        <v>0</v>
      </c>
      <c r="C21" s="152">
        <f t="shared" si="1"/>
        <v>0</v>
      </c>
      <c r="D21" s="153"/>
      <c r="E21" s="153"/>
      <c r="F21" s="154">
        <f t="shared" si="2"/>
        <v>0</v>
      </c>
      <c r="G21" s="155"/>
      <c r="H21" s="155"/>
      <c r="I21" s="155"/>
      <c r="J21" s="155"/>
      <c r="K21" s="155"/>
      <c r="L21" s="155"/>
      <c r="M21" s="155"/>
      <c r="N21" s="156"/>
      <c r="O21" s="155"/>
      <c r="P21" s="63"/>
    </row>
    <row r="22" spans="1:16" ht="36.6" customHeight="1" x14ac:dyDescent="0.35">
      <c r="A22" s="150" t="s">
        <v>105</v>
      </c>
      <c r="B22" s="151">
        <f t="shared" si="0"/>
        <v>261850</v>
      </c>
      <c r="C22" s="152">
        <f t="shared" si="1"/>
        <v>0</v>
      </c>
      <c r="D22" s="153">
        <f>+D23</f>
        <v>0</v>
      </c>
      <c r="E22" s="153">
        <f>+E23</f>
        <v>0</v>
      </c>
      <c r="F22" s="154">
        <f t="shared" si="2"/>
        <v>0</v>
      </c>
      <c r="G22" s="155">
        <f t="shared" ref="G22:G24" si="4">+G23</f>
        <v>0</v>
      </c>
      <c r="H22" s="155">
        <f t="shared" si="3"/>
        <v>0</v>
      </c>
      <c r="I22" s="155">
        <f t="shared" si="3"/>
        <v>0</v>
      </c>
      <c r="J22" s="155">
        <f t="shared" si="3"/>
        <v>0</v>
      </c>
      <c r="K22" s="155">
        <f t="shared" si="3"/>
        <v>0</v>
      </c>
      <c r="L22" s="155">
        <f t="shared" ref="L22:L26" si="5">+L23</f>
        <v>0</v>
      </c>
      <c r="M22" s="155">
        <f t="shared" si="3"/>
        <v>0</v>
      </c>
      <c r="N22" s="156">
        <f t="shared" ref="N22:N24" si="6">+N23</f>
        <v>0</v>
      </c>
      <c r="O22" s="155">
        <f>261850+O23</f>
        <v>261850</v>
      </c>
      <c r="P22" s="63">
        <f>+P23</f>
        <v>0</v>
      </c>
    </row>
    <row r="23" spans="1:16" ht="15" customHeight="1" x14ac:dyDescent="0.35">
      <c r="A23" s="157" t="s">
        <v>724</v>
      </c>
      <c r="B23" s="151">
        <f t="shared" si="0"/>
        <v>0</v>
      </c>
      <c r="C23" s="152">
        <f t="shared" si="1"/>
        <v>0</v>
      </c>
      <c r="D23" s="153"/>
      <c r="E23" s="153"/>
      <c r="F23" s="154">
        <f t="shared" si="2"/>
        <v>0</v>
      </c>
      <c r="G23" s="155"/>
      <c r="H23" s="155"/>
      <c r="I23" s="155"/>
      <c r="J23" s="155"/>
      <c r="K23" s="155"/>
      <c r="L23" s="155"/>
      <c r="M23" s="155"/>
      <c r="N23" s="156"/>
      <c r="O23" s="155"/>
      <c r="P23" s="63"/>
    </row>
    <row r="24" spans="1:16" ht="19.2" customHeight="1" x14ac:dyDescent="0.35">
      <c r="A24" s="150" t="s">
        <v>135</v>
      </c>
      <c r="B24" s="151">
        <f t="shared" si="0"/>
        <v>26400</v>
      </c>
      <c r="C24" s="152">
        <f t="shared" si="1"/>
        <v>26400</v>
      </c>
      <c r="D24" s="153">
        <f>21360+D25</f>
        <v>21360</v>
      </c>
      <c r="E24" s="153">
        <f>+E25+5040</f>
        <v>5040</v>
      </c>
      <c r="F24" s="154">
        <f t="shared" si="2"/>
        <v>0</v>
      </c>
      <c r="G24" s="155">
        <f t="shared" si="4"/>
        <v>0</v>
      </c>
      <c r="H24" s="155">
        <f t="shared" si="3"/>
        <v>0</v>
      </c>
      <c r="I24" s="155">
        <f t="shared" si="3"/>
        <v>0</v>
      </c>
      <c r="J24" s="155">
        <f t="shared" si="3"/>
        <v>0</v>
      </c>
      <c r="K24" s="155">
        <f t="shared" si="3"/>
        <v>0</v>
      </c>
      <c r="L24" s="155">
        <f t="shared" si="5"/>
        <v>0</v>
      </c>
      <c r="M24" s="155">
        <f t="shared" si="3"/>
        <v>0</v>
      </c>
      <c r="N24" s="156">
        <f t="shared" si="6"/>
        <v>0</v>
      </c>
      <c r="O24" s="155">
        <f>O25</f>
        <v>0</v>
      </c>
      <c r="P24" s="155">
        <f>P25</f>
        <v>0</v>
      </c>
    </row>
    <row r="25" spans="1:16" ht="15" customHeight="1" x14ac:dyDescent="0.35">
      <c r="A25" s="157" t="s">
        <v>724</v>
      </c>
      <c r="B25" s="151">
        <f t="shared" si="0"/>
        <v>0</v>
      </c>
      <c r="C25" s="152">
        <f t="shared" si="1"/>
        <v>0</v>
      </c>
      <c r="D25" s="153"/>
      <c r="E25" s="153"/>
      <c r="F25" s="154">
        <f t="shared" si="2"/>
        <v>0</v>
      </c>
      <c r="G25" s="155"/>
      <c r="H25" s="155"/>
      <c r="I25" s="155"/>
      <c r="J25" s="155"/>
      <c r="K25" s="155"/>
      <c r="L25" s="155"/>
      <c r="M25" s="155"/>
      <c r="N25" s="156"/>
      <c r="O25" s="155"/>
      <c r="P25" s="63"/>
    </row>
    <row r="26" spans="1:16" ht="36.75" customHeight="1" x14ac:dyDescent="0.35">
      <c r="A26" s="150" t="s">
        <v>612</v>
      </c>
      <c r="B26" s="151">
        <f t="shared" si="0"/>
        <v>80000</v>
      </c>
      <c r="C26" s="152">
        <f t="shared" si="1"/>
        <v>80000</v>
      </c>
      <c r="D26" s="153">
        <f>+D27</f>
        <v>0</v>
      </c>
      <c r="E26" s="153">
        <f>80000+E27</f>
        <v>80000</v>
      </c>
      <c r="F26" s="154">
        <f t="shared" si="2"/>
        <v>0</v>
      </c>
      <c r="G26" s="155">
        <f>+G27</f>
        <v>0</v>
      </c>
      <c r="H26" s="155">
        <f t="shared" si="3"/>
        <v>0</v>
      </c>
      <c r="I26" s="155">
        <f t="shared" si="3"/>
        <v>0</v>
      </c>
      <c r="J26" s="155">
        <f t="shared" si="3"/>
        <v>0</v>
      </c>
      <c r="K26" s="155">
        <f t="shared" si="3"/>
        <v>0</v>
      </c>
      <c r="L26" s="155">
        <f t="shared" si="5"/>
        <v>0</v>
      </c>
      <c r="M26" s="155">
        <f t="shared" si="3"/>
        <v>0</v>
      </c>
      <c r="N26" s="156">
        <f>+N27</f>
        <v>0</v>
      </c>
      <c r="O26" s="155">
        <f>O27</f>
        <v>0</v>
      </c>
      <c r="P26" s="155">
        <f>P27</f>
        <v>0</v>
      </c>
    </row>
    <row r="27" spans="1:16" ht="15" customHeight="1" x14ac:dyDescent="0.35">
      <c r="A27" s="157" t="s">
        <v>724</v>
      </c>
      <c r="B27" s="151">
        <f t="shared" si="0"/>
        <v>0</v>
      </c>
      <c r="C27" s="152">
        <f t="shared" si="1"/>
        <v>0</v>
      </c>
      <c r="D27" s="153"/>
      <c r="E27" s="153"/>
      <c r="F27" s="154">
        <f t="shared" si="2"/>
        <v>0</v>
      </c>
      <c r="G27" s="155"/>
      <c r="H27" s="155"/>
      <c r="I27" s="155"/>
      <c r="J27" s="155"/>
      <c r="K27" s="155"/>
      <c r="L27" s="155"/>
      <c r="M27" s="155"/>
      <c r="N27" s="156"/>
      <c r="O27" s="155"/>
      <c r="P27" s="63"/>
    </row>
    <row r="28" spans="1:16" ht="18.600000000000001" customHeight="1" x14ac:dyDescent="0.35">
      <c r="A28" s="150" t="s">
        <v>539</v>
      </c>
      <c r="B28" s="151">
        <f t="shared" si="0"/>
        <v>129817</v>
      </c>
      <c r="C28" s="152">
        <f t="shared" si="1"/>
        <v>124998</v>
      </c>
      <c r="D28" s="153">
        <f>900+D29</f>
        <v>101139</v>
      </c>
      <c r="E28" s="153">
        <f>213+E29</f>
        <v>23859</v>
      </c>
      <c r="F28" s="154">
        <f t="shared" si="2"/>
        <v>4819</v>
      </c>
      <c r="G28" s="155">
        <f>+G29</f>
        <v>0</v>
      </c>
      <c r="H28" s="155">
        <f>+H29</f>
        <v>300</v>
      </c>
      <c r="I28" s="155">
        <f>200+I29</f>
        <v>4519</v>
      </c>
      <c r="J28" s="155">
        <f t="shared" si="3"/>
        <v>0</v>
      </c>
      <c r="K28" s="155">
        <f t="shared" si="3"/>
        <v>0</v>
      </c>
      <c r="L28" s="155">
        <f t="shared" ref="L28" si="7">+L29</f>
        <v>0</v>
      </c>
      <c r="M28" s="155">
        <f t="shared" ref="M28" si="8">+M29</f>
        <v>0</v>
      </c>
      <c r="N28" s="156">
        <f>+N29</f>
        <v>0</v>
      </c>
      <c r="O28" s="155">
        <f>O29</f>
        <v>0</v>
      </c>
      <c r="P28" s="155">
        <f>P29</f>
        <v>0</v>
      </c>
    </row>
    <row r="29" spans="1:16" ht="15" customHeight="1" x14ac:dyDescent="0.35">
      <c r="A29" s="157" t="s">
        <v>724</v>
      </c>
      <c r="B29" s="151">
        <f t="shared" si="0"/>
        <v>128504</v>
      </c>
      <c r="C29" s="152">
        <f t="shared" si="1"/>
        <v>123885</v>
      </c>
      <c r="D29" s="153">
        <v>100239</v>
      </c>
      <c r="E29" s="153">
        <v>23646</v>
      </c>
      <c r="F29" s="154">
        <f t="shared" si="2"/>
        <v>4619</v>
      </c>
      <c r="G29" s="155"/>
      <c r="H29" s="155">
        <v>300</v>
      </c>
      <c r="I29" s="155">
        <v>4319</v>
      </c>
      <c r="J29" s="155"/>
      <c r="K29" s="155"/>
      <c r="L29" s="155"/>
      <c r="M29" s="155"/>
      <c r="N29" s="156"/>
      <c r="O29" s="155"/>
      <c r="P29" s="63"/>
    </row>
    <row r="30" spans="1:16" ht="23.25" customHeight="1" x14ac:dyDescent="0.35">
      <c r="A30" s="150" t="s">
        <v>558</v>
      </c>
      <c r="B30" s="151">
        <f t="shared" si="0"/>
        <v>142262</v>
      </c>
      <c r="C30" s="152">
        <f t="shared" si="1"/>
        <v>125288</v>
      </c>
      <c r="D30" s="153">
        <f>100940+D31</f>
        <v>100940</v>
      </c>
      <c r="E30" s="153">
        <f>24348+E31</f>
        <v>24348</v>
      </c>
      <c r="F30" s="154">
        <f t="shared" si="2"/>
        <v>16974</v>
      </c>
      <c r="G30" s="155">
        <f>20+G31</f>
        <v>20</v>
      </c>
      <c r="H30" s="155">
        <f>6023+H31</f>
        <v>6023</v>
      </c>
      <c r="I30" s="155">
        <f>10472+I31</f>
        <v>10472</v>
      </c>
      <c r="J30" s="155">
        <f t="shared" si="3"/>
        <v>0</v>
      </c>
      <c r="K30" s="155">
        <f>459+K31</f>
        <v>459</v>
      </c>
      <c r="L30" s="155">
        <f t="shared" ref="L30" si="9">+L31</f>
        <v>0</v>
      </c>
      <c r="M30" s="155">
        <f t="shared" ref="M30" si="10">+M31</f>
        <v>0</v>
      </c>
      <c r="N30" s="156">
        <f>+N31</f>
        <v>0</v>
      </c>
      <c r="O30" s="155">
        <f>O31</f>
        <v>0</v>
      </c>
      <c r="P30" s="155">
        <f>P31</f>
        <v>0</v>
      </c>
    </row>
    <row r="31" spans="1:16" ht="15" customHeight="1" x14ac:dyDescent="0.35">
      <c r="A31" s="157" t="s">
        <v>724</v>
      </c>
      <c r="B31" s="151">
        <f t="shared" si="0"/>
        <v>0</v>
      </c>
      <c r="C31" s="152">
        <f t="shared" si="1"/>
        <v>0</v>
      </c>
      <c r="D31" s="153"/>
      <c r="E31" s="153"/>
      <c r="F31" s="154">
        <f t="shared" si="2"/>
        <v>0</v>
      </c>
      <c r="G31" s="155"/>
      <c r="H31" s="155"/>
      <c r="I31" s="155"/>
      <c r="J31" s="155"/>
      <c r="K31" s="155"/>
      <c r="L31" s="155"/>
      <c r="M31" s="155"/>
      <c r="N31" s="156"/>
      <c r="O31" s="155"/>
      <c r="P31" s="63"/>
    </row>
    <row r="32" spans="1:16" ht="15" customHeight="1" x14ac:dyDescent="0.35">
      <c r="A32" s="150" t="s">
        <v>559</v>
      </c>
      <c r="B32" s="151">
        <f t="shared" si="0"/>
        <v>129535</v>
      </c>
      <c r="C32" s="152">
        <f t="shared" si="1"/>
        <v>104413</v>
      </c>
      <c r="D32" s="153">
        <f>89943-3900-1560+D33</f>
        <v>84483</v>
      </c>
      <c r="E32" s="153">
        <f>21218-920-368+E33</f>
        <v>19930</v>
      </c>
      <c r="F32" s="154">
        <f t="shared" si="2"/>
        <v>25122</v>
      </c>
      <c r="G32" s="155">
        <f>+G33</f>
        <v>0</v>
      </c>
      <c r="H32" s="155">
        <f>9986+H33</f>
        <v>9986</v>
      </c>
      <c r="I32" s="155">
        <f>15576+I33</f>
        <v>14826</v>
      </c>
      <c r="J32" s="155">
        <f t="shared" si="3"/>
        <v>0</v>
      </c>
      <c r="K32" s="155">
        <f>310+K33</f>
        <v>310</v>
      </c>
      <c r="L32" s="155">
        <f t="shared" ref="L32" si="11">+L33</f>
        <v>0</v>
      </c>
      <c r="M32" s="155">
        <f t="shared" ref="M32" si="12">+M33</f>
        <v>0</v>
      </c>
      <c r="N32" s="156">
        <f>+N33</f>
        <v>0</v>
      </c>
      <c r="O32" s="155">
        <f>O33</f>
        <v>0</v>
      </c>
      <c r="P32" s="155">
        <f>P33</f>
        <v>0</v>
      </c>
    </row>
    <row r="33" spans="1:16" ht="15" customHeight="1" x14ac:dyDescent="0.35">
      <c r="A33" s="157" t="s">
        <v>724</v>
      </c>
      <c r="B33" s="151">
        <f t="shared" si="0"/>
        <v>-750</v>
      </c>
      <c r="C33" s="152">
        <f t="shared" si="1"/>
        <v>0</v>
      </c>
      <c r="D33" s="153"/>
      <c r="E33" s="153"/>
      <c r="F33" s="154">
        <f t="shared" si="2"/>
        <v>-750</v>
      </c>
      <c r="G33" s="155"/>
      <c r="H33" s="155"/>
      <c r="I33" s="155">
        <v>-750</v>
      </c>
      <c r="J33" s="155"/>
      <c r="K33" s="155"/>
      <c r="L33" s="155"/>
      <c r="M33" s="155"/>
      <c r="N33" s="156"/>
      <c r="O33" s="155"/>
      <c r="P33" s="63"/>
    </row>
    <row r="34" spans="1:16" ht="15" customHeight="1" x14ac:dyDescent="0.35">
      <c r="A34" s="150" t="s">
        <v>560</v>
      </c>
      <c r="B34" s="151">
        <f t="shared" si="0"/>
        <v>94418</v>
      </c>
      <c r="C34" s="152">
        <f t="shared" si="1"/>
        <v>75213</v>
      </c>
      <c r="D34" s="153">
        <f>60006+D35</f>
        <v>60006</v>
      </c>
      <c r="E34" s="153">
        <f>15207+E35</f>
        <v>15207</v>
      </c>
      <c r="F34" s="154">
        <f t="shared" si="2"/>
        <v>19205</v>
      </c>
      <c r="G34" s="155">
        <f>40+G35</f>
        <v>40</v>
      </c>
      <c r="H34" s="155">
        <f>9420+H35</f>
        <v>9420</v>
      </c>
      <c r="I34" s="155">
        <f>9435+I35</f>
        <v>9435</v>
      </c>
      <c r="J34" s="155">
        <f t="shared" si="3"/>
        <v>0</v>
      </c>
      <c r="K34" s="155">
        <f>310+K35</f>
        <v>310</v>
      </c>
      <c r="L34" s="155">
        <f t="shared" ref="L34" si="13">+L35</f>
        <v>0</v>
      </c>
      <c r="M34" s="155">
        <f t="shared" ref="M34" si="14">+M35</f>
        <v>0</v>
      </c>
      <c r="N34" s="156">
        <f>+N35</f>
        <v>0</v>
      </c>
      <c r="O34" s="155">
        <f>O35</f>
        <v>0</v>
      </c>
      <c r="P34" s="155">
        <f>P35</f>
        <v>0</v>
      </c>
    </row>
    <row r="35" spans="1:16" ht="15" customHeight="1" x14ac:dyDescent="0.35">
      <c r="A35" s="157" t="s">
        <v>724</v>
      </c>
      <c r="B35" s="151">
        <f t="shared" si="0"/>
        <v>0</v>
      </c>
      <c r="C35" s="152">
        <f t="shared" si="1"/>
        <v>0</v>
      </c>
      <c r="D35" s="153"/>
      <c r="E35" s="153"/>
      <c r="F35" s="154">
        <f t="shared" si="2"/>
        <v>0</v>
      </c>
      <c r="G35" s="155"/>
      <c r="H35" s="155"/>
      <c r="I35" s="155"/>
      <c r="J35" s="155"/>
      <c r="K35" s="155"/>
      <c r="L35" s="155"/>
      <c r="M35" s="155"/>
      <c r="N35" s="156"/>
      <c r="O35" s="155"/>
      <c r="P35" s="63"/>
    </row>
    <row r="36" spans="1:16" ht="18" customHeight="1" x14ac:dyDescent="0.35">
      <c r="A36" s="150" t="s">
        <v>561</v>
      </c>
      <c r="B36" s="151">
        <f t="shared" si="0"/>
        <v>145377</v>
      </c>
      <c r="C36" s="152">
        <f t="shared" si="1"/>
        <v>114583</v>
      </c>
      <c r="D36" s="153">
        <f>92554+D37</f>
        <v>92554</v>
      </c>
      <c r="E36" s="153">
        <f>22029+E37</f>
        <v>22029</v>
      </c>
      <c r="F36" s="154">
        <f t="shared" si="2"/>
        <v>30794</v>
      </c>
      <c r="G36" s="155">
        <f>+G37</f>
        <v>0</v>
      </c>
      <c r="H36" s="155">
        <f>16860+H37</f>
        <v>16860</v>
      </c>
      <c r="I36" s="155">
        <f>13110+I37</f>
        <v>13110</v>
      </c>
      <c r="J36" s="155">
        <f t="shared" ref="J36:J98" si="15">+J37</f>
        <v>0</v>
      </c>
      <c r="K36" s="155">
        <f>824+K37</f>
        <v>824</v>
      </c>
      <c r="L36" s="155">
        <f t="shared" ref="L36" si="16">+L37</f>
        <v>0</v>
      </c>
      <c r="M36" s="155">
        <f t="shared" ref="M36" si="17">+M37</f>
        <v>0</v>
      </c>
      <c r="N36" s="156">
        <f>+N37</f>
        <v>0</v>
      </c>
      <c r="O36" s="155">
        <f>O37</f>
        <v>0</v>
      </c>
      <c r="P36" s="155">
        <f>P37</f>
        <v>0</v>
      </c>
    </row>
    <row r="37" spans="1:16" ht="15" customHeight="1" x14ac:dyDescent="0.35">
      <c r="A37" s="157" t="s">
        <v>724</v>
      </c>
      <c r="B37" s="151">
        <f t="shared" si="0"/>
        <v>0</v>
      </c>
      <c r="C37" s="152">
        <f t="shared" si="1"/>
        <v>0</v>
      </c>
      <c r="D37" s="153"/>
      <c r="E37" s="153"/>
      <c r="F37" s="154">
        <f t="shared" si="2"/>
        <v>0</v>
      </c>
      <c r="G37" s="155"/>
      <c r="H37" s="155"/>
      <c r="I37" s="155"/>
      <c r="J37" s="155"/>
      <c r="K37" s="155"/>
      <c r="L37" s="155"/>
      <c r="M37" s="155"/>
      <c r="N37" s="156"/>
      <c r="O37" s="155"/>
      <c r="P37" s="63"/>
    </row>
    <row r="38" spans="1:16" ht="36" customHeight="1" x14ac:dyDescent="0.35">
      <c r="A38" s="150" t="s">
        <v>65</v>
      </c>
      <c r="B38" s="151">
        <f t="shared" si="0"/>
        <v>79626</v>
      </c>
      <c r="C38" s="152">
        <f t="shared" si="1"/>
        <v>67900</v>
      </c>
      <c r="D38" s="153">
        <f>54900+D39</f>
        <v>54900</v>
      </c>
      <c r="E38" s="153">
        <f>13000+E39</f>
        <v>13000</v>
      </c>
      <c r="F38" s="154">
        <f t="shared" si="2"/>
        <v>11726</v>
      </c>
      <c r="G38" s="155">
        <f>32+G39</f>
        <v>32</v>
      </c>
      <c r="H38" s="155">
        <f>10294+H39</f>
        <v>10294</v>
      </c>
      <c r="I38" s="155">
        <f>1400+I39</f>
        <v>1400</v>
      </c>
      <c r="J38" s="155">
        <f t="shared" si="15"/>
        <v>0</v>
      </c>
      <c r="K38" s="155">
        <f>+K39</f>
        <v>0</v>
      </c>
      <c r="L38" s="155">
        <f t="shared" ref="L38" si="18">+L39</f>
        <v>0</v>
      </c>
      <c r="M38" s="155">
        <f t="shared" ref="M38" si="19">+M39</f>
        <v>0</v>
      </c>
      <c r="N38" s="156">
        <f>+N39</f>
        <v>0</v>
      </c>
      <c r="O38" s="155">
        <f>O39</f>
        <v>0</v>
      </c>
      <c r="P38" s="155">
        <f>P39</f>
        <v>0</v>
      </c>
    </row>
    <row r="39" spans="1:16" ht="15" customHeight="1" x14ac:dyDescent="0.35">
      <c r="A39" s="157" t="s">
        <v>724</v>
      </c>
      <c r="B39" s="151">
        <f t="shared" si="0"/>
        <v>0</v>
      </c>
      <c r="C39" s="152">
        <f t="shared" si="1"/>
        <v>0</v>
      </c>
      <c r="D39" s="153"/>
      <c r="E39" s="153"/>
      <c r="F39" s="154">
        <f t="shared" si="2"/>
        <v>0</v>
      </c>
      <c r="G39" s="155"/>
      <c r="H39" s="155"/>
      <c r="I39" s="155"/>
      <c r="J39" s="155"/>
      <c r="K39" s="155"/>
      <c r="L39" s="155"/>
      <c r="M39" s="155"/>
      <c r="N39" s="156"/>
      <c r="O39" s="155"/>
      <c r="P39" s="63"/>
    </row>
    <row r="40" spans="1:16" ht="24.75" customHeight="1" x14ac:dyDescent="0.35">
      <c r="A40" s="150" t="s">
        <v>2</v>
      </c>
      <c r="B40" s="151">
        <f t="shared" si="0"/>
        <v>4179</v>
      </c>
      <c r="C40" s="152">
        <f t="shared" si="1"/>
        <v>0</v>
      </c>
      <c r="D40" s="153">
        <f>+D41</f>
        <v>0</v>
      </c>
      <c r="E40" s="153">
        <f>+E41</f>
        <v>0</v>
      </c>
      <c r="F40" s="154">
        <f t="shared" si="2"/>
        <v>4179</v>
      </c>
      <c r="G40" s="155">
        <f>+G41</f>
        <v>0</v>
      </c>
      <c r="H40" s="155">
        <f>5000+H41</f>
        <v>4179</v>
      </c>
      <c r="I40" s="155">
        <f>+I41</f>
        <v>0</v>
      </c>
      <c r="J40" s="155">
        <f t="shared" si="15"/>
        <v>0</v>
      </c>
      <c r="K40" s="155">
        <f t="shared" ref="K40" si="20">+K41</f>
        <v>0</v>
      </c>
      <c r="L40" s="155">
        <f t="shared" ref="L40" si="21">+L41</f>
        <v>0</v>
      </c>
      <c r="M40" s="155">
        <f t="shared" ref="M40" si="22">+M41</f>
        <v>0</v>
      </c>
      <c r="N40" s="156">
        <f>+N41</f>
        <v>0</v>
      </c>
      <c r="O40" s="155">
        <f>O41</f>
        <v>0</v>
      </c>
      <c r="P40" s="155">
        <f>P41</f>
        <v>0</v>
      </c>
    </row>
    <row r="41" spans="1:16" ht="15" customHeight="1" x14ac:dyDescent="0.35">
      <c r="A41" s="157" t="s">
        <v>724</v>
      </c>
      <c r="B41" s="151">
        <f t="shared" si="0"/>
        <v>-821</v>
      </c>
      <c r="C41" s="152">
        <f t="shared" si="1"/>
        <v>0</v>
      </c>
      <c r="D41" s="153"/>
      <c r="E41" s="153"/>
      <c r="F41" s="154">
        <f t="shared" si="2"/>
        <v>-821</v>
      </c>
      <c r="G41" s="155"/>
      <c r="H41" s="155">
        <v>-821</v>
      </c>
      <c r="I41" s="155"/>
      <c r="J41" s="155"/>
      <c r="K41" s="155"/>
      <c r="L41" s="155"/>
      <c r="M41" s="155"/>
      <c r="N41" s="156"/>
      <c r="O41" s="155"/>
      <c r="P41" s="63"/>
    </row>
    <row r="42" spans="1:16" ht="21.75" customHeight="1" x14ac:dyDescent="0.35">
      <c r="A42" s="150" t="s">
        <v>3</v>
      </c>
      <c r="B42" s="151">
        <f t="shared" si="0"/>
        <v>51098</v>
      </c>
      <c r="C42" s="152">
        <f t="shared" si="1"/>
        <v>0</v>
      </c>
      <c r="D42" s="153">
        <f t="shared" ref="D42" si="23">+D43</f>
        <v>0</v>
      </c>
      <c r="E42" s="153">
        <f t="shared" ref="E42" si="24">+E43</f>
        <v>0</v>
      </c>
      <c r="F42" s="154">
        <f t="shared" si="2"/>
        <v>51098</v>
      </c>
      <c r="G42" s="155">
        <f t="shared" ref="G42" si="25">+G43</f>
        <v>0</v>
      </c>
      <c r="H42" s="155">
        <f>51098+H43</f>
        <v>51098</v>
      </c>
      <c r="I42" s="155">
        <f t="shared" ref="I42" si="26">+I43</f>
        <v>0</v>
      </c>
      <c r="J42" s="155">
        <f t="shared" si="15"/>
        <v>0</v>
      </c>
      <c r="K42" s="155">
        <f t="shared" ref="K42" si="27">+K43</f>
        <v>0</v>
      </c>
      <c r="L42" s="155">
        <f t="shared" ref="L42" si="28">+L43</f>
        <v>0</v>
      </c>
      <c r="M42" s="155">
        <f t="shared" ref="M42" si="29">+M43</f>
        <v>0</v>
      </c>
      <c r="N42" s="156">
        <f>+N43</f>
        <v>0</v>
      </c>
      <c r="O42" s="155">
        <f>O43</f>
        <v>0</v>
      </c>
      <c r="P42" s="155">
        <f>P43</f>
        <v>0</v>
      </c>
    </row>
    <row r="43" spans="1:16" ht="15" customHeight="1" x14ac:dyDescent="0.35">
      <c r="A43" s="157" t="s">
        <v>724</v>
      </c>
      <c r="B43" s="151">
        <f t="shared" si="0"/>
        <v>0</v>
      </c>
      <c r="C43" s="152">
        <f t="shared" si="1"/>
        <v>0</v>
      </c>
      <c r="D43" s="153"/>
      <c r="E43" s="153"/>
      <c r="F43" s="154">
        <f t="shared" si="2"/>
        <v>0</v>
      </c>
      <c r="G43" s="155"/>
      <c r="H43" s="155"/>
      <c r="I43" s="155"/>
      <c r="J43" s="155"/>
      <c r="K43" s="155"/>
      <c r="L43" s="155"/>
      <c r="M43" s="155"/>
      <c r="N43" s="156"/>
      <c r="O43" s="155"/>
      <c r="P43" s="63"/>
    </row>
    <row r="44" spans="1:16" ht="30" customHeight="1" x14ac:dyDescent="0.35">
      <c r="A44" s="150" t="s">
        <v>107</v>
      </c>
      <c r="B44" s="151">
        <f t="shared" si="0"/>
        <v>586196</v>
      </c>
      <c r="C44" s="152">
        <f t="shared" si="1"/>
        <v>0</v>
      </c>
      <c r="D44" s="153">
        <f t="shared" ref="D44" si="30">+D45</f>
        <v>0</v>
      </c>
      <c r="E44" s="153">
        <f t="shared" ref="E44" si="31">+E45</f>
        <v>0</v>
      </c>
      <c r="F44" s="154">
        <f t="shared" si="2"/>
        <v>18134</v>
      </c>
      <c r="G44" s="155">
        <f t="shared" ref="G44" si="32">+G45</f>
        <v>0</v>
      </c>
      <c r="H44" s="155">
        <f>18134+H45</f>
        <v>18134</v>
      </c>
      <c r="I44" s="155">
        <f t="shared" ref="I44" si="33">+I45</f>
        <v>0</v>
      </c>
      <c r="J44" s="155">
        <f t="shared" si="15"/>
        <v>0</v>
      </c>
      <c r="K44" s="155">
        <f t="shared" ref="K44" si="34">+K45</f>
        <v>0</v>
      </c>
      <c r="L44" s="155">
        <f>+L45</f>
        <v>0</v>
      </c>
      <c r="M44" s="155">
        <f>568062+M45</f>
        <v>568062</v>
      </c>
      <c r="N44" s="156">
        <f>+N45</f>
        <v>0</v>
      </c>
      <c r="O44" s="155">
        <f>O45</f>
        <v>0</v>
      </c>
      <c r="P44" s="155">
        <f>P45</f>
        <v>0</v>
      </c>
    </row>
    <row r="45" spans="1:16" ht="15" customHeight="1" x14ac:dyDescent="0.35">
      <c r="A45" s="157" t="s">
        <v>724</v>
      </c>
      <c r="B45" s="151">
        <f t="shared" si="0"/>
        <v>0</v>
      </c>
      <c r="C45" s="152">
        <f t="shared" si="1"/>
        <v>0</v>
      </c>
      <c r="D45" s="153"/>
      <c r="E45" s="153"/>
      <c r="F45" s="154">
        <f t="shared" si="2"/>
        <v>0</v>
      </c>
      <c r="G45" s="155"/>
      <c r="H45" s="155"/>
      <c r="I45" s="155"/>
      <c r="J45" s="155"/>
      <c r="K45" s="155"/>
      <c r="L45" s="155"/>
      <c r="M45" s="155"/>
      <c r="N45" s="156"/>
      <c r="O45" s="155"/>
      <c r="P45" s="63"/>
    </row>
    <row r="46" spans="1:16" ht="21.6" customHeight="1" x14ac:dyDescent="0.35">
      <c r="A46" s="150" t="s">
        <v>4</v>
      </c>
      <c r="B46" s="151">
        <f t="shared" si="0"/>
        <v>88412</v>
      </c>
      <c r="C46" s="152">
        <f t="shared" si="1"/>
        <v>68168</v>
      </c>
      <c r="D46" s="153">
        <f>54284+D47</f>
        <v>54284</v>
      </c>
      <c r="E46" s="153">
        <f>13884+E47</f>
        <v>13884</v>
      </c>
      <c r="F46" s="154">
        <f t="shared" si="2"/>
        <v>20244</v>
      </c>
      <c r="G46" s="155">
        <f>310+G47</f>
        <v>310</v>
      </c>
      <c r="H46" s="155">
        <f>15589+H47</f>
        <v>15589</v>
      </c>
      <c r="I46" s="155">
        <f>4345+I47</f>
        <v>4345</v>
      </c>
      <c r="J46" s="155">
        <f t="shared" si="15"/>
        <v>0</v>
      </c>
      <c r="K46" s="155">
        <f t="shared" ref="K46" si="35">+K47</f>
        <v>0</v>
      </c>
      <c r="L46" s="155">
        <f t="shared" ref="L46" si="36">+L47</f>
        <v>0</v>
      </c>
      <c r="M46" s="155">
        <f t="shared" ref="M46" si="37">+M47</f>
        <v>0</v>
      </c>
      <c r="N46" s="156">
        <f>+N47</f>
        <v>0</v>
      </c>
      <c r="O46" s="155">
        <f>O47</f>
        <v>0</v>
      </c>
      <c r="P46" s="155">
        <f>P47</f>
        <v>0</v>
      </c>
    </row>
    <row r="47" spans="1:16" ht="15" customHeight="1" x14ac:dyDescent="0.35">
      <c r="A47" s="157" t="s">
        <v>724</v>
      </c>
      <c r="B47" s="151">
        <f t="shared" si="0"/>
        <v>0</v>
      </c>
      <c r="C47" s="152">
        <f t="shared" si="1"/>
        <v>0</v>
      </c>
      <c r="D47" s="153"/>
      <c r="E47" s="153"/>
      <c r="F47" s="154">
        <f t="shared" si="2"/>
        <v>0</v>
      </c>
      <c r="G47" s="155"/>
      <c r="H47" s="155"/>
      <c r="I47" s="155"/>
      <c r="J47" s="155"/>
      <c r="K47" s="155"/>
      <c r="L47" s="155"/>
      <c r="M47" s="155"/>
      <c r="N47" s="156"/>
      <c r="O47" s="155"/>
      <c r="P47" s="63"/>
    </row>
    <row r="48" spans="1:16" ht="21.6" customHeight="1" x14ac:dyDescent="0.35">
      <c r="A48" s="150" t="s">
        <v>5</v>
      </c>
      <c r="B48" s="151">
        <f t="shared" si="0"/>
        <v>194036</v>
      </c>
      <c r="C48" s="152">
        <f t="shared" si="1"/>
        <v>163231</v>
      </c>
      <c r="D48" s="153">
        <f>130631+D49</f>
        <v>130631</v>
      </c>
      <c r="E48" s="153">
        <f>32600+E49</f>
        <v>32600</v>
      </c>
      <c r="F48" s="154">
        <f t="shared" si="2"/>
        <v>25555</v>
      </c>
      <c r="G48" s="155">
        <f>130+G49</f>
        <v>130</v>
      </c>
      <c r="H48" s="155">
        <f>11905+H49</f>
        <v>12777</v>
      </c>
      <c r="I48" s="155">
        <f>10460+I49</f>
        <v>12588</v>
      </c>
      <c r="J48" s="155">
        <f t="shared" si="15"/>
        <v>0</v>
      </c>
      <c r="K48" s="155">
        <f>60+K49</f>
        <v>60</v>
      </c>
      <c r="L48" s="155">
        <f t="shared" ref="L48" si="38">+L49</f>
        <v>0</v>
      </c>
      <c r="M48" s="155">
        <f t="shared" ref="M48" si="39">+M49</f>
        <v>0</v>
      </c>
      <c r="N48" s="156">
        <f>5250+N49</f>
        <v>5250</v>
      </c>
      <c r="O48" s="155">
        <f>O49</f>
        <v>0</v>
      </c>
      <c r="P48" s="155">
        <f>P49</f>
        <v>0</v>
      </c>
    </row>
    <row r="49" spans="1:16" ht="15" customHeight="1" x14ac:dyDescent="0.35">
      <c r="A49" s="157" t="s">
        <v>724</v>
      </c>
      <c r="B49" s="151">
        <f t="shared" si="0"/>
        <v>3000</v>
      </c>
      <c r="C49" s="152">
        <f t="shared" si="1"/>
        <v>0</v>
      </c>
      <c r="D49" s="153"/>
      <c r="E49" s="153"/>
      <c r="F49" s="154">
        <f t="shared" si="2"/>
        <v>3000</v>
      </c>
      <c r="G49" s="155"/>
      <c r="H49" s="155">
        <v>872</v>
      </c>
      <c r="I49" s="155">
        <v>2128</v>
      </c>
      <c r="J49" s="155"/>
      <c r="K49" s="155"/>
      <c r="L49" s="155"/>
      <c r="M49" s="155"/>
      <c r="N49" s="156"/>
      <c r="O49" s="155"/>
      <c r="P49" s="63"/>
    </row>
    <row r="50" spans="1:16" ht="22.5" customHeight="1" x14ac:dyDescent="0.35">
      <c r="A50" s="150" t="s">
        <v>41</v>
      </c>
      <c r="B50" s="151">
        <f t="shared" si="0"/>
        <v>76756</v>
      </c>
      <c r="C50" s="152">
        <f t="shared" si="1"/>
        <v>73288</v>
      </c>
      <c r="D50" s="153">
        <f>58688+D51</f>
        <v>58688</v>
      </c>
      <c r="E50" s="153">
        <f>14600+E51</f>
        <v>14600</v>
      </c>
      <c r="F50" s="154">
        <f t="shared" si="2"/>
        <v>3468</v>
      </c>
      <c r="G50" s="155">
        <f>+G51</f>
        <v>0</v>
      </c>
      <c r="H50" s="155">
        <f>2818+H51</f>
        <v>2818</v>
      </c>
      <c r="I50" s="155">
        <f>650+I51</f>
        <v>650</v>
      </c>
      <c r="J50" s="155">
        <f t="shared" si="15"/>
        <v>0</v>
      </c>
      <c r="K50" s="155">
        <f>+K51</f>
        <v>0</v>
      </c>
      <c r="L50" s="155">
        <f t="shared" ref="L50" si="40">+L51</f>
        <v>0</v>
      </c>
      <c r="M50" s="155">
        <f t="shared" ref="M50" si="41">+M51</f>
        <v>0</v>
      </c>
      <c r="N50" s="156">
        <f>+N51</f>
        <v>0</v>
      </c>
      <c r="O50" s="155">
        <f>O51</f>
        <v>0</v>
      </c>
      <c r="P50" s="155">
        <f>P51</f>
        <v>0</v>
      </c>
    </row>
    <row r="51" spans="1:16" ht="15" customHeight="1" x14ac:dyDescent="0.35">
      <c r="A51" s="157" t="s">
        <v>724</v>
      </c>
      <c r="B51" s="151">
        <f t="shared" si="0"/>
        <v>0</v>
      </c>
      <c r="C51" s="152">
        <f t="shared" si="1"/>
        <v>0</v>
      </c>
      <c r="D51" s="153"/>
      <c r="E51" s="153"/>
      <c r="F51" s="154">
        <f t="shared" si="2"/>
        <v>0</v>
      </c>
      <c r="G51" s="155"/>
      <c r="H51" s="155"/>
      <c r="I51" s="155"/>
      <c r="J51" s="155"/>
      <c r="K51" s="155"/>
      <c r="L51" s="155"/>
      <c r="M51" s="155"/>
      <c r="N51" s="156"/>
      <c r="O51" s="155"/>
      <c r="P51" s="63"/>
    </row>
    <row r="52" spans="1:16" ht="24" customHeight="1" x14ac:dyDescent="0.35">
      <c r="A52" s="150" t="s">
        <v>6</v>
      </c>
      <c r="B52" s="151">
        <f t="shared" si="0"/>
        <v>61102</v>
      </c>
      <c r="C52" s="152">
        <f t="shared" si="1"/>
        <v>57549</v>
      </c>
      <c r="D52" s="153">
        <f>46116+D53</f>
        <v>46116</v>
      </c>
      <c r="E52" s="153">
        <f>11433+E53</f>
        <v>11433</v>
      </c>
      <c r="F52" s="154">
        <f t="shared" si="2"/>
        <v>3553</v>
      </c>
      <c r="G52" s="155">
        <f>90+G53</f>
        <v>90</v>
      </c>
      <c r="H52" s="155">
        <f>443+H53</f>
        <v>443</v>
      </c>
      <c r="I52" s="155">
        <f>3020+I53</f>
        <v>3020</v>
      </c>
      <c r="J52" s="155">
        <f t="shared" si="15"/>
        <v>0</v>
      </c>
      <c r="K52" s="155">
        <f>+K53</f>
        <v>0</v>
      </c>
      <c r="L52" s="155">
        <f t="shared" ref="L52" si="42">+L53</f>
        <v>0</v>
      </c>
      <c r="M52" s="155">
        <f t="shared" ref="M52" si="43">+M53</f>
        <v>0</v>
      </c>
      <c r="N52" s="156">
        <f>+N53</f>
        <v>0</v>
      </c>
      <c r="O52" s="155">
        <f>O53</f>
        <v>0</v>
      </c>
      <c r="P52" s="155">
        <f>P53</f>
        <v>0</v>
      </c>
    </row>
    <row r="53" spans="1:16" ht="15" customHeight="1" x14ac:dyDescent="0.35">
      <c r="A53" s="157" t="s">
        <v>724</v>
      </c>
      <c r="B53" s="151">
        <f t="shared" si="0"/>
        <v>0</v>
      </c>
      <c r="C53" s="152">
        <f t="shared" si="1"/>
        <v>0</v>
      </c>
      <c r="D53" s="153"/>
      <c r="E53" s="153"/>
      <c r="F53" s="154">
        <f t="shared" si="2"/>
        <v>0</v>
      </c>
      <c r="G53" s="155"/>
      <c r="H53" s="155"/>
      <c r="I53" s="155"/>
      <c r="J53" s="155"/>
      <c r="K53" s="155"/>
      <c r="L53" s="155"/>
      <c r="M53" s="155"/>
      <c r="N53" s="156"/>
      <c r="O53" s="155"/>
      <c r="P53" s="63"/>
    </row>
    <row r="54" spans="1:16" ht="25.95" customHeight="1" x14ac:dyDescent="0.35">
      <c r="A54" s="150" t="s">
        <v>7</v>
      </c>
      <c r="B54" s="151">
        <f t="shared" si="0"/>
        <v>160000</v>
      </c>
      <c r="C54" s="152">
        <f t="shared" si="1"/>
        <v>0</v>
      </c>
      <c r="D54" s="153">
        <f>+D55</f>
        <v>0</v>
      </c>
      <c r="E54" s="153">
        <f>+E55</f>
        <v>0</v>
      </c>
      <c r="F54" s="154">
        <f t="shared" si="2"/>
        <v>160000</v>
      </c>
      <c r="G54" s="155">
        <f>+G55</f>
        <v>0</v>
      </c>
      <c r="H54" s="155">
        <f>+H55</f>
        <v>0</v>
      </c>
      <c r="I54" s="155">
        <f>+I55</f>
        <v>0</v>
      </c>
      <c r="J54" s="155">
        <f t="shared" si="15"/>
        <v>0</v>
      </c>
      <c r="K54" s="155">
        <f>160000+K55</f>
        <v>160000</v>
      </c>
      <c r="L54" s="155">
        <f t="shared" ref="L54" si="44">+L55</f>
        <v>0</v>
      </c>
      <c r="M54" s="155">
        <f t="shared" ref="M54" si="45">+M55</f>
        <v>0</v>
      </c>
      <c r="N54" s="156">
        <f>+N55</f>
        <v>0</v>
      </c>
      <c r="O54" s="155">
        <f>O55</f>
        <v>0</v>
      </c>
      <c r="P54" s="155">
        <f>P55</f>
        <v>0</v>
      </c>
    </row>
    <row r="55" spans="1:16" ht="15" customHeight="1" x14ac:dyDescent="0.35">
      <c r="A55" s="157" t="s">
        <v>724</v>
      </c>
      <c r="B55" s="151">
        <f t="shared" si="0"/>
        <v>0</v>
      </c>
      <c r="C55" s="152">
        <f t="shared" si="1"/>
        <v>0</v>
      </c>
      <c r="D55" s="153"/>
      <c r="E55" s="153"/>
      <c r="F55" s="154">
        <f t="shared" si="2"/>
        <v>0</v>
      </c>
      <c r="G55" s="155"/>
      <c r="H55" s="155"/>
      <c r="I55" s="155"/>
      <c r="J55" s="155"/>
      <c r="K55" s="155"/>
      <c r="L55" s="155"/>
      <c r="M55" s="155"/>
      <c r="N55" s="156"/>
      <c r="O55" s="155"/>
      <c r="P55" s="63"/>
    </row>
    <row r="56" spans="1:16" ht="30" customHeight="1" x14ac:dyDescent="0.35">
      <c r="A56" s="150" t="s">
        <v>42</v>
      </c>
      <c r="B56" s="151">
        <f t="shared" si="0"/>
        <v>3448</v>
      </c>
      <c r="C56" s="152">
        <f t="shared" si="1"/>
        <v>0</v>
      </c>
      <c r="D56" s="153">
        <f t="shared" ref="D56" si="46">+D57</f>
        <v>0</v>
      </c>
      <c r="E56" s="153">
        <f t="shared" ref="E56" si="47">+E57</f>
        <v>0</v>
      </c>
      <c r="F56" s="154">
        <f t="shared" si="2"/>
        <v>3448</v>
      </c>
      <c r="G56" s="155">
        <f t="shared" ref="G56" si="48">+G57</f>
        <v>0</v>
      </c>
      <c r="H56" s="155">
        <f>3448+H57</f>
        <v>3448</v>
      </c>
      <c r="I56" s="155">
        <f t="shared" ref="I56" si="49">+I57</f>
        <v>0</v>
      </c>
      <c r="J56" s="155">
        <f t="shared" si="15"/>
        <v>0</v>
      </c>
      <c r="K56" s="155">
        <f>+K57</f>
        <v>0</v>
      </c>
      <c r="L56" s="155">
        <f t="shared" ref="L56" si="50">+L57</f>
        <v>0</v>
      </c>
      <c r="M56" s="155">
        <f t="shared" ref="M56" si="51">+M57</f>
        <v>0</v>
      </c>
      <c r="N56" s="156">
        <f>+N57</f>
        <v>0</v>
      </c>
      <c r="O56" s="155">
        <f>O57</f>
        <v>0</v>
      </c>
      <c r="P56" s="155">
        <f>P57</f>
        <v>0</v>
      </c>
    </row>
    <row r="57" spans="1:16" ht="15" customHeight="1" x14ac:dyDescent="0.35">
      <c r="A57" s="157" t="s">
        <v>724</v>
      </c>
      <c r="B57" s="151">
        <f t="shared" si="0"/>
        <v>0</v>
      </c>
      <c r="C57" s="152">
        <f t="shared" si="1"/>
        <v>0</v>
      </c>
      <c r="D57" s="153"/>
      <c r="E57" s="153"/>
      <c r="F57" s="154">
        <f t="shared" si="2"/>
        <v>0</v>
      </c>
      <c r="G57" s="155"/>
      <c r="H57" s="155"/>
      <c r="I57" s="155"/>
      <c r="J57" s="155"/>
      <c r="K57" s="155"/>
      <c r="L57" s="155"/>
      <c r="M57" s="155"/>
      <c r="N57" s="156"/>
      <c r="O57" s="155"/>
      <c r="P57" s="63"/>
    </row>
    <row r="58" spans="1:16" ht="25.5" customHeight="1" x14ac:dyDescent="0.35">
      <c r="A58" s="150" t="s">
        <v>114</v>
      </c>
      <c r="B58" s="151">
        <f t="shared" si="0"/>
        <v>50000</v>
      </c>
      <c r="C58" s="152">
        <f t="shared" si="1"/>
        <v>0</v>
      </c>
      <c r="D58" s="153">
        <f t="shared" ref="D58" si="52">+D59</f>
        <v>0</v>
      </c>
      <c r="E58" s="153">
        <f t="shared" ref="E58" si="53">+E59</f>
        <v>0</v>
      </c>
      <c r="F58" s="154">
        <f t="shared" si="2"/>
        <v>0</v>
      </c>
      <c r="G58" s="155">
        <f t="shared" ref="G58" si="54">+G59</f>
        <v>0</v>
      </c>
      <c r="H58" s="155">
        <f>+H59</f>
        <v>0</v>
      </c>
      <c r="I58" s="155">
        <f t="shared" ref="I58" si="55">+I59</f>
        <v>0</v>
      </c>
      <c r="J58" s="155">
        <f t="shared" si="15"/>
        <v>0</v>
      </c>
      <c r="K58" s="155">
        <f t="shared" ref="K58" si="56">+K59</f>
        <v>0</v>
      </c>
      <c r="L58" s="155">
        <f>50000+L59</f>
        <v>50000</v>
      </c>
      <c r="M58" s="155">
        <f>+M59</f>
        <v>0</v>
      </c>
      <c r="N58" s="156">
        <f>+N59</f>
        <v>0</v>
      </c>
      <c r="O58" s="155">
        <f>O59</f>
        <v>0</v>
      </c>
      <c r="P58" s="155">
        <f>P59</f>
        <v>0</v>
      </c>
    </row>
    <row r="59" spans="1:16" ht="15" customHeight="1" x14ac:dyDescent="0.35">
      <c r="A59" s="157" t="s">
        <v>724</v>
      </c>
      <c r="B59" s="151">
        <f t="shared" si="0"/>
        <v>0</v>
      </c>
      <c r="C59" s="152">
        <f t="shared" si="1"/>
        <v>0</v>
      </c>
      <c r="D59" s="153"/>
      <c r="E59" s="153"/>
      <c r="F59" s="154">
        <f t="shared" si="2"/>
        <v>0</v>
      </c>
      <c r="G59" s="155"/>
      <c r="H59" s="155"/>
      <c r="I59" s="155"/>
      <c r="J59" s="155"/>
      <c r="K59" s="155"/>
      <c r="L59" s="155"/>
      <c r="M59" s="155"/>
      <c r="N59" s="156"/>
      <c r="O59" s="155"/>
      <c r="P59" s="63"/>
    </row>
    <row r="60" spans="1:16" ht="25.5" customHeight="1" x14ac:dyDescent="0.35">
      <c r="A60" s="150" t="s">
        <v>662</v>
      </c>
      <c r="B60" s="151">
        <f t="shared" si="0"/>
        <v>13660</v>
      </c>
      <c r="C60" s="152">
        <f t="shared" si="1"/>
        <v>0</v>
      </c>
      <c r="D60" s="153">
        <f t="shared" ref="D60" si="57">+D61</f>
        <v>0</v>
      </c>
      <c r="E60" s="153">
        <f t="shared" ref="E60" si="58">+E61</f>
        <v>0</v>
      </c>
      <c r="F60" s="154">
        <f t="shared" si="2"/>
        <v>13660</v>
      </c>
      <c r="G60" s="155">
        <f t="shared" ref="G60" si="59">+G61</f>
        <v>0</v>
      </c>
      <c r="H60" s="155">
        <f>13160+H61</f>
        <v>13160</v>
      </c>
      <c r="I60" s="155">
        <f>500+I61</f>
        <v>500</v>
      </c>
      <c r="J60" s="155">
        <f t="shared" si="15"/>
        <v>0</v>
      </c>
      <c r="K60" s="155">
        <f t="shared" ref="K60" si="60">+K61</f>
        <v>0</v>
      </c>
      <c r="L60" s="155">
        <f t="shared" ref="L60" si="61">+L61</f>
        <v>0</v>
      </c>
      <c r="M60" s="155">
        <f t="shared" ref="M60" si="62">+M61</f>
        <v>0</v>
      </c>
      <c r="N60" s="156">
        <f>+N61</f>
        <v>0</v>
      </c>
      <c r="O60" s="155">
        <f>O61</f>
        <v>0</v>
      </c>
      <c r="P60" s="155">
        <f>P61</f>
        <v>0</v>
      </c>
    </row>
    <row r="61" spans="1:16" ht="15" customHeight="1" x14ac:dyDescent="0.35">
      <c r="A61" s="157" t="s">
        <v>724</v>
      </c>
      <c r="B61" s="151">
        <f t="shared" si="0"/>
        <v>0</v>
      </c>
      <c r="C61" s="152">
        <f t="shared" si="1"/>
        <v>0</v>
      </c>
      <c r="D61" s="153"/>
      <c r="E61" s="153"/>
      <c r="F61" s="154">
        <f t="shared" si="2"/>
        <v>0</v>
      </c>
      <c r="G61" s="155"/>
      <c r="H61" s="155"/>
      <c r="I61" s="155"/>
      <c r="J61" s="155"/>
      <c r="K61" s="155"/>
      <c r="L61" s="155"/>
      <c r="M61" s="155"/>
      <c r="N61" s="156"/>
      <c r="O61" s="155"/>
      <c r="P61" s="63"/>
    </row>
    <row r="62" spans="1:16" ht="30" customHeight="1" x14ac:dyDescent="0.35">
      <c r="A62" s="158" t="s">
        <v>45</v>
      </c>
      <c r="B62" s="151">
        <f t="shared" si="0"/>
        <v>134176</v>
      </c>
      <c r="C62" s="152">
        <f t="shared" si="1"/>
        <v>17481</v>
      </c>
      <c r="D62" s="153">
        <f>14144+D63</f>
        <v>14144</v>
      </c>
      <c r="E62" s="153">
        <f>3337+E63</f>
        <v>3337</v>
      </c>
      <c r="F62" s="154">
        <f t="shared" si="2"/>
        <v>116695</v>
      </c>
      <c r="G62" s="155">
        <f t="shared" ref="G62" si="63">+G63</f>
        <v>0</v>
      </c>
      <c r="H62" s="155">
        <f>106465+H63</f>
        <v>106465</v>
      </c>
      <c r="I62" s="155">
        <f>10230+I63</f>
        <v>10230</v>
      </c>
      <c r="J62" s="155">
        <f t="shared" si="15"/>
        <v>0</v>
      </c>
      <c r="K62" s="155">
        <f t="shared" ref="K62" si="64">+K63</f>
        <v>0</v>
      </c>
      <c r="L62" s="155">
        <f t="shared" ref="L62" si="65">+L63</f>
        <v>0</v>
      </c>
      <c r="M62" s="155">
        <f t="shared" ref="M62" si="66">+M63</f>
        <v>0</v>
      </c>
      <c r="N62" s="156">
        <f>+N63</f>
        <v>0</v>
      </c>
      <c r="O62" s="155">
        <f>O63</f>
        <v>0</v>
      </c>
      <c r="P62" s="155">
        <f>P63</f>
        <v>0</v>
      </c>
    </row>
    <row r="63" spans="1:16" ht="15" customHeight="1" x14ac:dyDescent="0.35">
      <c r="A63" s="157" t="s">
        <v>724</v>
      </c>
      <c r="B63" s="151">
        <f t="shared" si="0"/>
        <v>0</v>
      </c>
      <c r="C63" s="152">
        <f t="shared" si="1"/>
        <v>0</v>
      </c>
      <c r="D63" s="153"/>
      <c r="E63" s="153"/>
      <c r="F63" s="154">
        <f t="shared" si="2"/>
        <v>0</v>
      </c>
      <c r="G63" s="155"/>
      <c r="H63" s="155"/>
      <c r="I63" s="155"/>
      <c r="J63" s="155"/>
      <c r="K63" s="155"/>
      <c r="L63" s="155"/>
      <c r="M63" s="155"/>
      <c r="N63" s="156"/>
      <c r="O63" s="155"/>
      <c r="P63" s="63"/>
    </row>
    <row r="64" spans="1:16" ht="36.6" customHeight="1" x14ac:dyDescent="0.35">
      <c r="A64" s="158" t="s">
        <v>144</v>
      </c>
      <c r="B64" s="151">
        <f t="shared" si="0"/>
        <v>72973</v>
      </c>
      <c r="C64" s="152">
        <f t="shared" si="1"/>
        <v>8406</v>
      </c>
      <c r="D64" s="153">
        <f>6802+D65</f>
        <v>6802</v>
      </c>
      <c r="E64" s="153">
        <f>1604+E65</f>
        <v>1604</v>
      </c>
      <c r="F64" s="154">
        <f t="shared" si="2"/>
        <v>64567</v>
      </c>
      <c r="G64" s="155">
        <f t="shared" ref="G64" si="67">+G65</f>
        <v>0</v>
      </c>
      <c r="H64" s="155">
        <f>41542+H65</f>
        <v>41542</v>
      </c>
      <c r="I64" s="155">
        <f>23025+I65</f>
        <v>23025</v>
      </c>
      <c r="J64" s="155">
        <f t="shared" si="15"/>
        <v>0</v>
      </c>
      <c r="K64" s="155">
        <f t="shared" ref="K64" si="68">+K65</f>
        <v>0</v>
      </c>
      <c r="L64" s="155">
        <f t="shared" ref="L64" si="69">+L65</f>
        <v>0</v>
      </c>
      <c r="M64" s="155">
        <f t="shared" ref="M64" si="70">+M65</f>
        <v>0</v>
      </c>
      <c r="N64" s="156">
        <f>+N65</f>
        <v>0</v>
      </c>
      <c r="O64" s="155">
        <f>O65</f>
        <v>0</v>
      </c>
      <c r="P64" s="155">
        <f>P65</f>
        <v>0</v>
      </c>
    </row>
    <row r="65" spans="1:16" ht="15" customHeight="1" x14ac:dyDescent="0.35">
      <c r="A65" s="157" t="s">
        <v>724</v>
      </c>
      <c r="B65" s="151">
        <f t="shared" si="0"/>
        <v>0</v>
      </c>
      <c r="C65" s="152">
        <f t="shared" si="1"/>
        <v>0</v>
      </c>
      <c r="D65" s="153"/>
      <c r="E65" s="153"/>
      <c r="F65" s="154">
        <f t="shared" si="2"/>
        <v>0</v>
      </c>
      <c r="G65" s="155"/>
      <c r="H65" s="155"/>
      <c r="I65" s="155"/>
      <c r="J65" s="155"/>
      <c r="K65" s="155"/>
      <c r="L65" s="155"/>
      <c r="M65" s="155"/>
      <c r="N65" s="156"/>
      <c r="O65" s="155"/>
      <c r="P65" s="63"/>
    </row>
    <row r="66" spans="1:16" ht="30" customHeight="1" x14ac:dyDescent="0.35">
      <c r="A66" s="158" t="s">
        <v>46</v>
      </c>
      <c r="B66" s="151">
        <f t="shared" si="0"/>
        <v>37698</v>
      </c>
      <c r="C66" s="152">
        <f t="shared" si="1"/>
        <v>3510</v>
      </c>
      <c r="D66" s="153">
        <f>2840+D67</f>
        <v>2840</v>
      </c>
      <c r="E66" s="153">
        <f>670+E67</f>
        <v>670</v>
      </c>
      <c r="F66" s="154">
        <f t="shared" si="2"/>
        <v>34188</v>
      </c>
      <c r="G66" s="155">
        <f t="shared" ref="G66" si="71">+G67</f>
        <v>0</v>
      </c>
      <c r="H66" s="155">
        <f>29688+H67</f>
        <v>29688</v>
      </c>
      <c r="I66" s="155">
        <f>4500+I67</f>
        <v>4500</v>
      </c>
      <c r="J66" s="155">
        <f t="shared" si="15"/>
        <v>0</v>
      </c>
      <c r="K66" s="155">
        <f t="shared" ref="K66" si="72">+K67</f>
        <v>0</v>
      </c>
      <c r="L66" s="155">
        <f t="shared" ref="L66" si="73">+L67</f>
        <v>0</v>
      </c>
      <c r="M66" s="155">
        <f t="shared" ref="M66" si="74">+M67</f>
        <v>0</v>
      </c>
      <c r="N66" s="156">
        <f>+N67</f>
        <v>0</v>
      </c>
      <c r="O66" s="155">
        <f>O67</f>
        <v>0</v>
      </c>
      <c r="P66" s="155">
        <f>P67</f>
        <v>0</v>
      </c>
    </row>
    <row r="67" spans="1:16" ht="15" customHeight="1" x14ac:dyDescent="0.35">
      <c r="A67" s="157" t="s">
        <v>724</v>
      </c>
      <c r="B67" s="151">
        <f t="shared" si="0"/>
        <v>0</v>
      </c>
      <c r="C67" s="152">
        <f t="shared" si="1"/>
        <v>0</v>
      </c>
      <c r="D67" s="153"/>
      <c r="E67" s="153"/>
      <c r="F67" s="154">
        <f t="shared" si="2"/>
        <v>0</v>
      </c>
      <c r="G67" s="155"/>
      <c r="H67" s="155"/>
      <c r="I67" s="155"/>
      <c r="J67" s="155"/>
      <c r="K67" s="155"/>
      <c r="L67" s="155"/>
      <c r="M67" s="155"/>
      <c r="N67" s="156"/>
      <c r="O67" s="155"/>
      <c r="P67" s="63"/>
    </row>
    <row r="68" spans="1:16" ht="30" customHeight="1" x14ac:dyDescent="0.35">
      <c r="A68" s="158" t="s">
        <v>47</v>
      </c>
      <c r="B68" s="151">
        <f t="shared" si="0"/>
        <v>34801</v>
      </c>
      <c r="C68" s="152">
        <f t="shared" si="1"/>
        <v>0</v>
      </c>
      <c r="D68" s="153">
        <f>+D69</f>
        <v>0</v>
      </c>
      <c r="E68" s="153">
        <f>+E69</f>
        <v>0</v>
      </c>
      <c r="F68" s="154">
        <f t="shared" si="2"/>
        <v>34801</v>
      </c>
      <c r="G68" s="155">
        <f t="shared" ref="G68" si="75">+G69</f>
        <v>0</v>
      </c>
      <c r="H68" s="155">
        <f>33351+H69</f>
        <v>33351</v>
      </c>
      <c r="I68" s="155">
        <f>1450+I69</f>
        <v>1450</v>
      </c>
      <c r="J68" s="155">
        <f t="shared" si="15"/>
        <v>0</v>
      </c>
      <c r="K68" s="155">
        <f t="shared" ref="K68" si="76">+K69</f>
        <v>0</v>
      </c>
      <c r="L68" s="155">
        <f t="shared" ref="L68" si="77">+L69</f>
        <v>0</v>
      </c>
      <c r="M68" s="155">
        <f t="shared" ref="M68" si="78">+M69</f>
        <v>0</v>
      </c>
      <c r="N68" s="156">
        <f>+N69</f>
        <v>0</v>
      </c>
      <c r="O68" s="155">
        <f>O69</f>
        <v>0</v>
      </c>
      <c r="P68" s="155">
        <f>P69</f>
        <v>0</v>
      </c>
    </row>
    <row r="69" spans="1:16" ht="15" customHeight="1" x14ac:dyDescent="0.35">
      <c r="A69" s="157" t="s">
        <v>724</v>
      </c>
      <c r="B69" s="151">
        <f t="shared" si="0"/>
        <v>0</v>
      </c>
      <c r="C69" s="152">
        <f t="shared" si="1"/>
        <v>0</v>
      </c>
      <c r="D69" s="153"/>
      <c r="E69" s="153"/>
      <c r="F69" s="154">
        <f t="shared" si="2"/>
        <v>0</v>
      </c>
      <c r="G69" s="155"/>
      <c r="H69" s="155"/>
      <c r="I69" s="155"/>
      <c r="J69" s="155"/>
      <c r="K69" s="155"/>
      <c r="L69" s="155"/>
      <c r="M69" s="155"/>
      <c r="N69" s="156"/>
      <c r="O69" s="155"/>
      <c r="P69" s="63"/>
    </row>
    <row r="70" spans="1:16" ht="33" customHeight="1" x14ac:dyDescent="0.35">
      <c r="A70" s="158" t="s">
        <v>48</v>
      </c>
      <c r="B70" s="151">
        <f t="shared" si="0"/>
        <v>42393</v>
      </c>
      <c r="C70" s="152">
        <f t="shared" si="1"/>
        <v>3510</v>
      </c>
      <c r="D70" s="153">
        <f>2840+D71</f>
        <v>2840</v>
      </c>
      <c r="E70" s="153">
        <f>670+E71</f>
        <v>670</v>
      </c>
      <c r="F70" s="154">
        <f t="shared" si="2"/>
        <v>38883</v>
      </c>
      <c r="G70" s="155">
        <f t="shared" ref="G70" si="79">+G71</f>
        <v>0</v>
      </c>
      <c r="H70" s="155">
        <f>34783+H71</f>
        <v>34783</v>
      </c>
      <c r="I70" s="155">
        <f>4100+I71</f>
        <v>4100</v>
      </c>
      <c r="J70" s="155">
        <f t="shared" si="15"/>
        <v>0</v>
      </c>
      <c r="K70" s="155">
        <f t="shared" ref="K70" si="80">+K71</f>
        <v>0</v>
      </c>
      <c r="L70" s="155">
        <f t="shared" ref="L70" si="81">+L71</f>
        <v>0</v>
      </c>
      <c r="M70" s="155">
        <f t="shared" ref="M70" si="82">+M71</f>
        <v>0</v>
      </c>
      <c r="N70" s="156">
        <f>+N71</f>
        <v>0</v>
      </c>
      <c r="O70" s="155">
        <f>O71</f>
        <v>0</v>
      </c>
      <c r="P70" s="155">
        <f>P71</f>
        <v>0</v>
      </c>
    </row>
    <row r="71" spans="1:16" ht="15" customHeight="1" x14ac:dyDescent="0.35">
      <c r="A71" s="157" t="s">
        <v>724</v>
      </c>
      <c r="B71" s="151">
        <f t="shared" si="0"/>
        <v>0</v>
      </c>
      <c r="C71" s="152">
        <f t="shared" si="1"/>
        <v>0</v>
      </c>
      <c r="D71" s="153"/>
      <c r="E71" s="153"/>
      <c r="F71" s="154">
        <f t="shared" si="2"/>
        <v>0</v>
      </c>
      <c r="G71" s="155"/>
      <c r="H71" s="155"/>
      <c r="I71" s="155"/>
      <c r="J71" s="155"/>
      <c r="K71" s="155"/>
      <c r="L71" s="155"/>
      <c r="M71" s="155"/>
      <c r="N71" s="156"/>
      <c r="O71" s="155"/>
      <c r="P71" s="63"/>
    </row>
    <row r="72" spans="1:16" ht="32.4" customHeight="1" x14ac:dyDescent="0.35">
      <c r="A72" s="158" t="s">
        <v>49</v>
      </c>
      <c r="B72" s="151">
        <f t="shared" si="0"/>
        <v>68809</v>
      </c>
      <c r="C72" s="152">
        <f t="shared" si="1"/>
        <v>0</v>
      </c>
      <c r="D72" s="153">
        <f>+D73</f>
        <v>0</v>
      </c>
      <c r="E72" s="153">
        <f>+E73</f>
        <v>0</v>
      </c>
      <c r="F72" s="154">
        <f t="shared" si="2"/>
        <v>68809</v>
      </c>
      <c r="G72" s="155">
        <f t="shared" ref="G72" si="83">+G73</f>
        <v>0</v>
      </c>
      <c r="H72" s="155">
        <f>67479+H73</f>
        <v>67479</v>
      </c>
      <c r="I72" s="155">
        <f>1330+I73</f>
        <v>1330</v>
      </c>
      <c r="J72" s="155">
        <f t="shared" si="15"/>
        <v>0</v>
      </c>
      <c r="K72" s="155">
        <f t="shared" ref="K72" si="84">+K73</f>
        <v>0</v>
      </c>
      <c r="L72" s="155">
        <f t="shared" ref="L72" si="85">+L73</f>
        <v>0</v>
      </c>
      <c r="M72" s="155">
        <f t="shared" ref="M72" si="86">+M73</f>
        <v>0</v>
      </c>
      <c r="N72" s="156">
        <f>+N73</f>
        <v>0</v>
      </c>
      <c r="O72" s="155">
        <f>O73</f>
        <v>0</v>
      </c>
      <c r="P72" s="155">
        <f>P73</f>
        <v>0</v>
      </c>
    </row>
    <row r="73" spans="1:16" ht="15" customHeight="1" x14ac:dyDescent="0.35">
      <c r="A73" s="157" t="s">
        <v>724</v>
      </c>
      <c r="B73" s="151">
        <f t="shared" si="0"/>
        <v>0</v>
      </c>
      <c r="C73" s="152">
        <f t="shared" si="1"/>
        <v>0</v>
      </c>
      <c r="D73" s="153"/>
      <c r="E73" s="153"/>
      <c r="F73" s="154">
        <f t="shared" si="2"/>
        <v>0</v>
      </c>
      <c r="G73" s="155"/>
      <c r="H73" s="155"/>
      <c r="I73" s="155"/>
      <c r="J73" s="155"/>
      <c r="K73" s="155"/>
      <c r="L73" s="155"/>
      <c r="M73" s="155"/>
      <c r="N73" s="156"/>
      <c r="O73" s="155"/>
      <c r="P73" s="63"/>
    </row>
    <row r="74" spans="1:16" ht="33.6" customHeight="1" x14ac:dyDescent="0.35">
      <c r="A74" s="158" t="s">
        <v>50</v>
      </c>
      <c r="B74" s="151">
        <f t="shared" si="0"/>
        <v>28583</v>
      </c>
      <c r="C74" s="152">
        <f t="shared" si="1"/>
        <v>0</v>
      </c>
      <c r="D74" s="153">
        <f t="shared" ref="D74" si="87">+D75</f>
        <v>0</v>
      </c>
      <c r="E74" s="153">
        <f t="shared" ref="E74" si="88">+E75</f>
        <v>0</v>
      </c>
      <c r="F74" s="154">
        <f t="shared" si="2"/>
        <v>28583</v>
      </c>
      <c r="G74" s="155">
        <f t="shared" ref="G74" si="89">+G75</f>
        <v>0</v>
      </c>
      <c r="H74" s="155">
        <f>26083+H75</f>
        <v>26083</v>
      </c>
      <c r="I74" s="155">
        <f>2500+I75</f>
        <v>2500</v>
      </c>
      <c r="J74" s="155">
        <f t="shared" si="15"/>
        <v>0</v>
      </c>
      <c r="K74" s="155">
        <f t="shared" ref="K74" si="90">+K75</f>
        <v>0</v>
      </c>
      <c r="L74" s="155">
        <f t="shared" ref="L74" si="91">+L75</f>
        <v>0</v>
      </c>
      <c r="M74" s="155">
        <f t="shared" ref="M74" si="92">+M75</f>
        <v>0</v>
      </c>
      <c r="N74" s="156">
        <f>+N75</f>
        <v>0</v>
      </c>
      <c r="O74" s="155">
        <f>O75</f>
        <v>0</v>
      </c>
      <c r="P74" s="155">
        <f>P75</f>
        <v>0</v>
      </c>
    </row>
    <row r="75" spans="1:16" ht="15" customHeight="1" x14ac:dyDescent="0.35">
      <c r="A75" s="157" t="s">
        <v>724</v>
      </c>
      <c r="B75" s="151">
        <f t="shared" si="0"/>
        <v>0</v>
      </c>
      <c r="C75" s="152">
        <f t="shared" si="1"/>
        <v>0</v>
      </c>
      <c r="D75" s="153"/>
      <c r="E75" s="153"/>
      <c r="F75" s="154">
        <f t="shared" si="2"/>
        <v>0</v>
      </c>
      <c r="G75" s="155"/>
      <c r="H75" s="155"/>
      <c r="I75" s="155"/>
      <c r="J75" s="155"/>
      <c r="K75" s="155"/>
      <c r="L75" s="155"/>
      <c r="M75" s="155"/>
      <c r="N75" s="156"/>
      <c r="O75" s="155"/>
      <c r="P75" s="63"/>
    </row>
    <row r="76" spans="1:16" ht="39" customHeight="1" x14ac:dyDescent="0.35">
      <c r="A76" s="158" t="s">
        <v>51</v>
      </c>
      <c r="B76" s="151">
        <f t="shared" si="0"/>
        <v>75759</v>
      </c>
      <c r="C76" s="152">
        <f t="shared" si="1"/>
        <v>0</v>
      </c>
      <c r="D76" s="153">
        <f t="shared" ref="D76" si="93">+D77</f>
        <v>0</v>
      </c>
      <c r="E76" s="153">
        <f t="shared" ref="E76" si="94">+E77</f>
        <v>0</v>
      </c>
      <c r="F76" s="154">
        <f t="shared" si="2"/>
        <v>75759</v>
      </c>
      <c r="G76" s="155">
        <f t="shared" ref="G76" si="95">+G77</f>
        <v>0</v>
      </c>
      <c r="H76" s="155">
        <f>73859+H77</f>
        <v>73859</v>
      </c>
      <c r="I76" s="155">
        <f>1900+I77</f>
        <v>1900</v>
      </c>
      <c r="J76" s="155">
        <f t="shared" si="15"/>
        <v>0</v>
      </c>
      <c r="K76" s="155">
        <f t="shared" ref="K76" si="96">+K77</f>
        <v>0</v>
      </c>
      <c r="L76" s="155">
        <f t="shared" ref="L76" si="97">+L77</f>
        <v>0</v>
      </c>
      <c r="M76" s="155">
        <f t="shared" ref="M76" si="98">+M77</f>
        <v>0</v>
      </c>
      <c r="N76" s="156">
        <f>+N77</f>
        <v>0</v>
      </c>
      <c r="O76" s="155">
        <f>O77</f>
        <v>0</v>
      </c>
      <c r="P76" s="155">
        <f>P77</f>
        <v>0</v>
      </c>
    </row>
    <row r="77" spans="1:16" ht="15" customHeight="1" x14ac:dyDescent="0.35">
      <c r="A77" s="157" t="s">
        <v>724</v>
      </c>
      <c r="B77" s="151">
        <f t="shared" si="0"/>
        <v>0</v>
      </c>
      <c r="C77" s="152">
        <f t="shared" si="1"/>
        <v>0</v>
      </c>
      <c r="D77" s="153"/>
      <c r="E77" s="153"/>
      <c r="F77" s="154">
        <f t="shared" si="2"/>
        <v>0</v>
      </c>
      <c r="G77" s="155"/>
      <c r="H77" s="155"/>
      <c r="I77" s="155"/>
      <c r="J77" s="155"/>
      <c r="K77" s="155"/>
      <c r="L77" s="155"/>
      <c r="M77" s="155"/>
      <c r="N77" s="156"/>
      <c r="O77" s="155"/>
      <c r="P77" s="63"/>
    </row>
    <row r="78" spans="1:16" ht="37.950000000000003" customHeight="1" x14ac:dyDescent="0.35">
      <c r="A78" s="158" t="s">
        <v>142</v>
      </c>
      <c r="B78" s="151">
        <f t="shared" si="0"/>
        <v>25023</v>
      </c>
      <c r="C78" s="152">
        <f t="shared" si="1"/>
        <v>0</v>
      </c>
      <c r="D78" s="153">
        <f t="shared" ref="D78" si="99">+D79</f>
        <v>0</v>
      </c>
      <c r="E78" s="153">
        <f t="shared" ref="E78" si="100">+E79</f>
        <v>0</v>
      </c>
      <c r="F78" s="154">
        <f t="shared" si="2"/>
        <v>25023</v>
      </c>
      <c r="G78" s="155">
        <f t="shared" ref="G78" si="101">+G79</f>
        <v>0</v>
      </c>
      <c r="H78" s="155">
        <f>20223+H79</f>
        <v>20223</v>
      </c>
      <c r="I78" s="155">
        <f>4800+I79</f>
        <v>4800</v>
      </c>
      <c r="J78" s="155">
        <f t="shared" si="15"/>
        <v>0</v>
      </c>
      <c r="K78" s="155">
        <f t="shared" ref="K78" si="102">+K79</f>
        <v>0</v>
      </c>
      <c r="L78" s="155">
        <f t="shared" ref="L78" si="103">+L79</f>
        <v>0</v>
      </c>
      <c r="M78" s="155">
        <f t="shared" ref="M78" si="104">+M79</f>
        <v>0</v>
      </c>
      <c r="N78" s="156">
        <f>+N79</f>
        <v>0</v>
      </c>
      <c r="O78" s="155">
        <f>O79</f>
        <v>0</v>
      </c>
      <c r="P78" s="155">
        <f>P79</f>
        <v>0</v>
      </c>
    </row>
    <row r="79" spans="1:16" ht="15" customHeight="1" x14ac:dyDescent="0.35">
      <c r="A79" s="157" t="s">
        <v>724</v>
      </c>
      <c r="B79" s="151">
        <f t="shared" si="0"/>
        <v>0</v>
      </c>
      <c r="C79" s="152">
        <f t="shared" si="1"/>
        <v>0</v>
      </c>
      <c r="D79" s="153"/>
      <c r="E79" s="153"/>
      <c r="F79" s="154">
        <f t="shared" si="2"/>
        <v>0</v>
      </c>
      <c r="G79" s="155"/>
      <c r="H79" s="155"/>
      <c r="I79" s="155"/>
      <c r="J79" s="155"/>
      <c r="K79" s="155"/>
      <c r="L79" s="155"/>
      <c r="M79" s="155"/>
      <c r="N79" s="156"/>
      <c r="O79" s="155"/>
      <c r="P79" s="63"/>
    </row>
    <row r="80" spans="1:16" ht="30" customHeight="1" x14ac:dyDescent="0.35">
      <c r="A80" s="158" t="s">
        <v>52</v>
      </c>
      <c r="B80" s="151">
        <f t="shared" si="0"/>
        <v>31355</v>
      </c>
      <c r="C80" s="152">
        <f t="shared" si="1"/>
        <v>0</v>
      </c>
      <c r="D80" s="153">
        <f t="shared" ref="D80" si="105">+D81</f>
        <v>0</v>
      </c>
      <c r="E80" s="153">
        <f t="shared" ref="E80" si="106">+E81</f>
        <v>0</v>
      </c>
      <c r="F80" s="154">
        <f t="shared" si="2"/>
        <v>31355</v>
      </c>
      <c r="G80" s="155">
        <f t="shared" ref="G80" si="107">+G81</f>
        <v>0</v>
      </c>
      <c r="H80" s="155">
        <f>31255+H81</f>
        <v>31255</v>
      </c>
      <c r="I80" s="155">
        <f>100+I81</f>
        <v>100</v>
      </c>
      <c r="J80" s="155">
        <f t="shared" si="15"/>
        <v>0</v>
      </c>
      <c r="K80" s="155">
        <f t="shared" ref="K80" si="108">+K81</f>
        <v>0</v>
      </c>
      <c r="L80" s="155">
        <f t="shared" ref="L80" si="109">+L81</f>
        <v>0</v>
      </c>
      <c r="M80" s="155">
        <f t="shared" ref="M80" si="110">+M81</f>
        <v>0</v>
      </c>
      <c r="N80" s="156">
        <f>+N81</f>
        <v>0</v>
      </c>
      <c r="O80" s="155">
        <f>O81</f>
        <v>0</v>
      </c>
      <c r="P80" s="155">
        <f>P81</f>
        <v>0</v>
      </c>
    </row>
    <row r="81" spans="1:16" ht="15" customHeight="1" x14ac:dyDescent="0.35">
      <c r="A81" s="157" t="s">
        <v>724</v>
      </c>
      <c r="B81" s="151">
        <f t="shared" si="0"/>
        <v>0</v>
      </c>
      <c r="C81" s="152">
        <f t="shared" si="1"/>
        <v>0</v>
      </c>
      <c r="D81" s="153"/>
      <c r="E81" s="153"/>
      <c r="F81" s="154">
        <f t="shared" si="2"/>
        <v>0</v>
      </c>
      <c r="G81" s="155"/>
      <c r="H81" s="155"/>
      <c r="I81" s="155"/>
      <c r="J81" s="155"/>
      <c r="K81" s="155"/>
      <c r="L81" s="155"/>
      <c r="M81" s="155"/>
      <c r="N81" s="156"/>
      <c r="O81" s="155"/>
      <c r="P81" s="63"/>
    </row>
    <row r="82" spans="1:16" ht="41.25" customHeight="1" x14ac:dyDescent="0.35">
      <c r="A82" s="158" t="s">
        <v>513</v>
      </c>
      <c r="B82" s="151">
        <f t="shared" si="0"/>
        <v>107547</v>
      </c>
      <c r="C82" s="152">
        <f t="shared" si="1"/>
        <v>8195</v>
      </c>
      <c r="D82" s="153">
        <f>6631+D83</f>
        <v>6631</v>
      </c>
      <c r="E82" s="153">
        <f>1564+E83</f>
        <v>1564</v>
      </c>
      <c r="F82" s="154">
        <f t="shared" si="2"/>
        <v>93110</v>
      </c>
      <c r="G82" s="155">
        <f t="shared" ref="G82" si="111">+G83</f>
        <v>0</v>
      </c>
      <c r="H82" s="155">
        <f>31510+H83</f>
        <v>31510</v>
      </c>
      <c r="I82" s="155">
        <f>61600+I83</f>
        <v>61600</v>
      </c>
      <c r="J82" s="155">
        <f t="shared" si="15"/>
        <v>0</v>
      </c>
      <c r="K82" s="155">
        <f t="shared" ref="K82" si="112">+K83</f>
        <v>0</v>
      </c>
      <c r="L82" s="155">
        <f t="shared" ref="L82" si="113">+L83</f>
        <v>0</v>
      </c>
      <c r="M82" s="155">
        <f t="shared" ref="M82" si="114">+M83</f>
        <v>0</v>
      </c>
      <c r="N82" s="156">
        <f>6242+N83</f>
        <v>6242</v>
      </c>
      <c r="O82" s="155">
        <f>O83</f>
        <v>0</v>
      </c>
      <c r="P82" s="155">
        <f>P83</f>
        <v>0</v>
      </c>
    </row>
    <row r="83" spans="1:16" ht="15" customHeight="1" x14ac:dyDescent="0.35">
      <c r="A83" s="157" t="s">
        <v>724</v>
      </c>
      <c r="B83" s="151">
        <f t="shared" ref="B83:B146" si="115">SUM(C83+F83,L83,M83,N83,O83,P83)</f>
        <v>0</v>
      </c>
      <c r="C83" s="152">
        <f t="shared" ref="C83:C146" si="116">D83+E83</f>
        <v>0</v>
      </c>
      <c r="D83" s="153"/>
      <c r="E83" s="153"/>
      <c r="F83" s="154">
        <f t="shared" ref="F83:F146" si="117">SUM(G83,H83,I83,J83,K83)</f>
        <v>0</v>
      </c>
      <c r="G83" s="155"/>
      <c r="H83" s="155"/>
      <c r="I83" s="155"/>
      <c r="J83" s="155"/>
      <c r="K83" s="155"/>
      <c r="L83" s="155"/>
      <c r="M83" s="155"/>
      <c r="N83" s="156"/>
      <c r="O83" s="155"/>
      <c r="P83" s="63"/>
    </row>
    <row r="84" spans="1:16" ht="30" customHeight="1" x14ac:dyDescent="0.35">
      <c r="A84" s="158" t="s">
        <v>141</v>
      </c>
      <c r="B84" s="151">
        <f t="shared" si="115"/>
        <v>51815</v>
      </c>
      <c r="C84" s="152">
        <f t="shared" si="116"/>
        <v>0</v>
      </c>
      <c r="D84" s="153">
        <f>+D85</f>
        <v>0</v>
      </c>
      <c r="E84" s="153">
        <f>+E85</f>
        <v>0</v>
      </c>
      <c r="F84" s="154">
        <f t="shared" si="117"/>
        <v>51815</v>
      </c>
      <c r="G84" s="155">
        <f t="shared" ref="G84" si="118">+G85</f>
        <v>0</v>
      </c>
      <c r="H84" s="155">
        <f>46815+H85</f>
        <v>46815</v>
      </c>
      <c r="I84" s="155">
        <f>5000+I85</f>
        <v>5000</v>
      </c>
      <c r="J84" s="155">
        <f t="shared" si="15"/>
        <v>0</v>
      </c>
      <c r="K84" s="155">
        <f t="shared" ref="K84" si="119">+K85</f>
        <v>0</v>
      </c>
      <c r="L84" s="155">
        <f t="shared" ref="L84" si="120">+L85</f>
        <v>0</v>
      </c>
      <c r="M84" s="155">
        <f t="shared" ref="M84" si="121">+M85</f>
        <v>0</v>
      </c>
      <c r="N84" s="156">
        <f>+N85</f>
        <v>0</v>
      </c>
      <c r="O84" s="155">
        <f>O85</f>
        <v>0</v>
      </c>
      <c r="P84" s="155">
        <f>P85</f>
        <v>0</v>
      </c>
    </row>
    <row r="85" spans="1:16" ht="15" customHeight="1" x14ac:dyDescent="0.35">
      <c r="A85" s="157" t="s">
        <v>724</v>
      </c>
      <c r="B85" s="151">
        <f t="shared" si="115"/>
        <v>0</v>
      </c>
      <c r="C85" s="152">
        <f t="shared" si="116"/>
        <v>0</v>
      </c>
      <c r="D85" s="153"/>
      <c r="E85" s="153"/>
      <c r="F85" s="154">
        <f t="shared" si="117"/>
        <v>0</v>
      </c>
      <c r="G85" s="155"/>
      <c r="H85" s="155"/>
      <c r="I85" s="155"/>
      <c r="J85" s="155"/>
      <c r="K85" s="155"/>
      <c r="L85" s="155"/>
      <c r="M85" s="155"/>
      <c r="N85" s="156"/>
      <c r="O85" s="155"/>
      <c r="P85" s="63"/>
    </row>
    <row r="86" spans="1:16" ht="30" customHeight="1" x14ac:dyDescent="0.35">
      <c r="A86" s="158" t="s">
        <v>143</v>
      </c>
      <c r="B86" s="151">
        <f t="shared" si="115"/>
        <v>227337</v>
      </c>
      <c r="C86" s="152">
        <f t="shared" si="116"/>
        <v>8341</v>
      </c>
      <c r="D86" s="153">
        <f>6749+D87</f>
        <v>6749</v>
      </c>
      <c r="E86" s="153">
        <f>1592+E87</f>
        <v>1592</v>
      </c>
      <c r="F86" s="154">
        <f t="shared" si="117"/>
        <v>218996</v>
      </c>
      <c r="G86" s="155">
        <f t="shared" ref="G86" si="122">+G87</f>
        <v>0</v>
      </c>
      <c r="H86" s="155">
        <f>123739+H87</f>
        <v>124996</v>
      </c>
      <c r="I86" s="155">
        <f>94000+I87</f>
        <v>94000</v>
      </c>
      <c r="J86" s="155">
        <f t="shared" si="15"/>
        <v>0</v>
      </c>
      <c r="K86" s="155">
        <f t="shared" ref="K86" si="123">+K87</f>
        <v>0</v>
      </c>
      <c r="L86" s="155">
        <f t="shared" ref="L86" si="124">+L87</f>
        <v>0</v>
      </c>
      <c r="M86" s="155">
        <f t="shared" ref="M86" si="125">+M87</f>
        <v>0</v>
      </c>
      <c r="N86" s="156">
        <f>+N87</f>
        <v>0</v>
      </c>
      <c r="O86" s="155">
        <f>O87</f>
        <v>0</v>
      </c>
      <c r="P86" s="155">
        <f>P87</f>
        <v>0</v>
      </c>
    </row>
    <row r="87" spans="1:16" ht="15" customHeight="1" x14ac:dyDescent="0.35">
      <c r="A87" s="157" t="s">
        <v>724</v>
      </c>
      <c r="B87" s="151">
        <f t="shared" si="115"/>
        <v>1257</v>
      </c>
      <c r="C87" s="152">
        <f t="shared" si="116"/>
        <v>0</v>
      </c>
      <c r="D87" s="153"/>
      <c r="E87" s="153"/>
      <c r="F87" s="154">
        <f t="shared" si="117"/>
        <v>1257</v>
      </c>
      <c r="G87" s="155"/>
      <c r="H87" s="155">
        <v>1257</v>
      </c>
      <c r="I87" s="155"/>
      <c r="J87" s="155"/>
      <c r="K87" s="155"/>
      <c r="L87" s="155"/>
      <c r="M87" s="155"/>
      <c r="N87" s="156"/>
      <c r="O87" s="155"/>
      <c r="P87" s="63"/>
    </row>
    <row r="88" spans="1:16" ht="30" customHeight="1" x14ac:dyDescent="0.35">
      <c r="A88" s="158" t="s">
        <v>145</v>
      </c>
      <c r="B88" s="151">
        <f t="shared" si="115"/>
        <v>68514</v>
      </c>
      <c r="C88" s="152">
        <f t="shared" si="116"/>
        <v>5487</v>
      </c>
      <c r="D88" s="153">
        <f>4440+D89</f>
        <v>4440</v>
      </c>
      <c r="E88" s="153">
        <f>1047+E89</f>
        <v>1047</v>
      </c>
      <c r="F88" s="154">
        <f t="shared" si="117"/>
        <v>63027</v>
      </c>
      <c r="G88" s="155">
        <f t="shared" ref="G88" si="126">+G89</f>
        <v>0</v>
      </c>
      <c r="H88" s="155">
        <f>46827+H89</f>
        <v>46827</v>
      </c>
      <c r="I88" s="155">
        <f>16200+I89</f>
        <v>16200</v>
      </c>
      <c r="J88" s="155">
        <f t="shared" si="15"/>
        <v>0</v>
      </c>
      <c r="K88" s="155">
        <f t="shared" ref="K88" si="127">+K89</f>
        <v>0</v>
      </c>
      <c r="L88" s="155">
        <f t="shared" ref="L88" si="128">+L89</f>
        <v>0</v>
      </c>
      <c r="M88" s="155">
        <f t="shared" ref="M88" si="129">+M89</f>
        <v>0</v>
      </c>
      <c r="N88" s="156">
        <f>+N89</f>
        <v>0</v>
      </c>
      <c r="O88" s="155">
        <f>O89</f>
        <v>0</v>
      </c>
      <c r="P88" s="155">
        <f>P89</f>
        <v>0</v>
      </c>
    </row>
    <row r="89" spans="1:16" ht="15" customHeight="1" x14ac:dyDescent="0.35">
      <c r="A89" s="157" t="s">
        <v>724</v>
      </c>
      <c r="B89" s="151">
        <f t="shared" si="115"/>
        <v>0</v>
      </c>
      <c r="C89" s="152">
        <f t="shared" si="116"/>
        <v>0</v>
      </c>
      <c r="D89" s="153"/>
      <c r="E89" s="153"/>
      <c r="F89" s="154">
        <f t="shared" si="117"/>
        <v>0</v>
      </c>
      <c r="G89" s="155"/>
      <c r="H89" s="155"/>
      <c r="I89" s="155"/>
      <c r="J89" s="155"/>
      <c r="K89" s="155"/>
      <c r="L89" s="155"/>
      <c r="M89" s="155"/>
      <c r="N89" s="156"/>
      <c r="O89" s="155"/>
      <c r="P89" s="63"/>
    </row>
    <row r="90" spans="1:16" ht="30" customHeight="1" x14ac:dyDescent="0.35">
      <c r="A90" s="158" t="s">
        <v>146</v>
      </c>
      <c r="B90" s="151">
        <f t="shared" si="115"/>
        <v>87383</v>
      </c>
      <c r="C90" s="152">
        <f t="shared" si="116"/>
        <v>3373</v>
      </c>
      <c r="D90" s="153">
        <f>2729+D91</f>
        <v>2729</v>
      </c>
      <c r="E90" s="153">
        <f>644+E91</f>
        <v>644</v>
      </c>
      <c r="F90" s="154">
        <f t="shared" si="117"/>
        <v>84010</v>
      </c>
      <c r="G90" s="155">
        <f t="shared" ref="G90" si="130">+G91</f>
        <v>0</v>
      </c>
      <c r="H90" s="155">
        <f>78310+H91</f>
        <v>78310</v>
      </c>
      <c r="I90" s="155">
        <f>5700+I91</f>
        <v>5700</v>
      </c>
      <c r="J90" s="155">
        <f t="shared" si="15"/>
        <v>0</v>
      </c>
      <c r="K90" s="155">
        <f t="shared" ref="K90" si="131">+K91</f>
        <v>0</v>
      </c>
      <c r="L90" s="155">
        <f t="shared" ref="L90" si="132">+L91</f>
        <v>0</v>
      </c>
      <c r="M90" s="155">
        <f t="shared" ref="M90" si="133">+M91</f>
        <v>0</v>
      </c>
      <c r="N90" s="156">
        <f>+N91</f>
        <v>0</v>
      </c>
      <c r="O90" s="155">
        <f>O91</f>
        <v>0</v>
      </c>
      <c r="P90" s="155">
        <f>P91</f>
        <v>0</v>
      </c>
    </row>
    <row r="91" spans="1:16" ht="15" customHeight="1" x14ac:dyDescent="0.35">
      <c r="A91" s="157" t="s">
        <v>724</v>
      </c>
      <c r="B91" s="151">
        <f t="shared" si="115"/>
        <v>0</v>
      </c>
      <c r="C91" s="152">
        <f t="shared" si="116"/>
        <v>0</v>
      </c>
      <c r="D91" s="153"/>
      <c r="E91" s="153"/>
      <c r="F91" s="154">
        <f t="shared" si="117"/>
        <v>0</v>
      </c>
      <c r="G91" s="155"/>
      <c r="H91" s="155"/>
      <c r="I91" s="155"/>
      <c r="J91" s="155"/>
      <c r="K91" s="155"/>
      <c r="L91" s="155"/>
      <c r="M91" s="155"/>
      <c r="N91" s="156"/>
      <c r="O91" s="155"/>
      <c r="P91" s="63"/>
    </row>
    <row r="92" spans="1:16" ht="30" customHeight="1" x14ac:dyDescent="0.35">
      <c r="A92" s="158" t="s">
        <v>53</v>
      </c>
      <c r="B92" s="151">
        <f t="shared" si="115"/>
        <v>47283</v>
      </c>
      <c r="C92" s="152">
        <f t="shared" si="116"/>
        <v>3906</v>
      </c>
      <c r="D92" s="153">
        <f>3160+D93</f>
        <v>3160</v>
      </c>
      <c r="E92" s="153">
        <f>746+E93</f>
        <v>746</v>
      </c>
      <c r="F92" s="154">
        <f t="shared" si="117"/>
        <v>43377</v>
      </c>
      <c r="G92" s="155">
        <f t="shared" ref="G92" si="134">+G93</f>
        <v>0</v>
      </c>
      <c r="H92" s="155">
        <f>37577+H93</f>
        <v>37577</v>
      </c>
      <c r="I92" s="155">
        <f>5800+I93</f>
        <v>5800</v>
      </c>
      <c r="J92" s="155">
        <f t="shared" si="15"/>
        <v>0</v>
      </c>
      <c r="K92" s="155">
        <f t="shared" ref="K92" si="135">+K93</f>
        <v>0</v>
      </c>
      <c r="L92" s="155">
        <f t="shared" ref="L92" si="136">+L93</f>
        <v>0</v>
      </c>
      <c r="M92" s="155">
        <f t="shared" ref="M92" si="137">+M93</f>
        <v>0</v>
      </c>
      <c r="N92" s="156">
        <f>+N93</f>
        <v>0</v>
      </c>
      <c r="O92" s="155">
        <f>O93</f>
        <v>0</v>
      </c>
      <c r="P92" s="155">
        <f>P93</f>
        <v>0</v>
      </c>
    </row>
    <row r="93" spans="1:16" ht="15" customHeight="1" x14ac:dyDescent="0.35">
      <c r="A93" s="157" t="s">
        <v>724</v>
      </c>
      <c r="B93" s="151">
        <f t="shared" si="115"/>
        <v>0</v>
      </c>
      <c r="C93" s="152">
        <f t="shared" si="116"/>
        <v>0</v>
      </c>
      <c r="D93" s="153"/>
      <c r="E93" s="153"/>
      <c r="F93" s="154">
        <f t="shared" si="117"/>
        <v>0</v>
      </c>
      <c r="G93" s="155"/>
      <c r="H93" s="155"/>
      <c r="I93" s="155"/>
      <c r="J93" s="155"/>
      <c r="K93" s="155"/>
      <c r="L93" s="155"/>
      <c r="M93" s="155"/>
      <c r="N93" s="156"/>
      <c r="O93" s="155"/>
      <c r="P93" s="63"/>
    </row>
    <row r="94" spans="1:16" ht="30" customHeight="1" x14ac:dyDescent="0.35">
      <c r="A94" s="158" t="s">
        <v>54</v>
      </c>
      <c r="B94" s="151">
        <f t="shared" si="115"/>
        <v>33120</v>
      </c>
      <c r="C94" s="152">
        <f t="shared" si="116"/>
        <v>0</v>
      </c>
      <c r="D94" s="153">
        <f>+D95</f>
        <v>0</v>
      </c>
      <c r="E94" s="153">
        <f>+E95</f>
        <v>0</v>
      </c>
      <c r="F94" s="154">
        <f t="shared" si="117"/>
        <v>33120</v>
      </c>
      <c r="G94" s="155">
        <f t="shared" ref="G94" si="138">+G95</f>
        <v>0</v>
      </c>
      <c r="H94" s="155">
        <f>33120+H95</f>
        <v>33120</v>
      </c>
      <c r="I94" s="155">
        <f>+I95</f>
        <v>0</v>
      </c>
      <c r="J94" s="155">
        <f t="shared" si="15"/>
        <v>0</v>
      </c>
      <c r="K94" s="155">
        <f t="shared" ref="K94" si="139">+K95</f>
        <v>0</v>
      </c>
      <c r="L94" s="155">
        <f t="shared" ref="L94" si="140">+L95</f>
        <v>0</v>
      </c>
      <c r="M94" s="155">
        <f t="shared" ref="M94" si="141">+M95</f>
        <v>0</v>
      </c>
      <c r="N94" s="156">
        <f>+N95</f>
        <v>0</v>
      </c>
      <c r="O94" s="155">
        <f>O95</f>
        <v>0</v>
      </c>
      <c r="P94" s="155">
        <f>P95</f>
        <v>0</v>
      </c>
    </row>
    <row r="95" spans="1:16" ht="15" customHeight="1" x14ac:dyDescent="0.35">
      <c r="A95" s="157" t="s">
        <v>724</v>
      </c>
      <c r="B95" s="151">
        <f t="shared" si="115"/>
        <v>0</v>
      </c>
      <c r="C95" s="152">
        <f t="shared" si="116"/>
        <v>0</v>
      </c>
      <c r="D95" s="153"/>
      <c r="E95" s="153"/>
      <c r="F95" s="154">
        <f t="shared" si="117"/>
        <v>0</v>
      </c>
      <c r="G95" s="155"/>
      <c r="H95" s="155"/>
      <c r="I95" s="155"/>
      <c r="J95" s="155"/>
      <c r="K95" s="155"/>
      <c r="L95" s="155"/>
      <c r="M95" s="155"/>
      <c r="N95" s="156"/>
      <c r="O95" s="155"/>
      <c r="P95" s="63"/>
    </row>
    <row r="96" spans="1:16" ht="30" customHeight="1" x14ac:dyDescent="0.35">
      <c r="A96" s="158" t="s">
        <v>149</v>
      </c>
      <c r="B96" s="151">
        <f t="shared" si="115"/>
        <v>28936</v>
      </c>
      <c r="C96" s="152">
        <f t="shared" si="116"/>
        <v>7682</v>
      </c>
      <c r="D96" s="153">
        <f>6216+D97</f>
        <v>6216</v>
      </c>
      <c r="E96" s="153">
        <f>1466+E97</f>
        <v>1466</v>
      </c>
      <c r="F96" s="154">
        <f t="shared" si="117"/>
        <v>21254</v>
      </c>
      <c r="G96" s="155">
        <f t="shared" ref="G96" si="142">+G97</f>
        <v>0</v>
      </c>
      <c r="H96" s="155">
        <f>11754+H97</f>
        <v>11754</v>
      </c>
      <c r="I96" s="155">
        <f>9500+I97</f>
        <v>9500</v>
      </c>
      <c r="J96" s="155">
        <f t="shared" si="15"/>
        <v>0</v>
      </c>
      <c r="K96" s="155">
        <f t="shared" ref="K96" si="143">+K97</f>
        <v>0</v>
      </c>
      <c r="L96" s="155">
        <f t="shared" ref="L96" si="144">+L97</f>
        <v>0</v>
      </c>
      <c r="M96" s="155">
        <f t="shared" ref="M96" si="145">+M97</f>
        <v>0</v>
      </c>
      <c r="N96" s="156">
        <f>+N97</f>
        <v>0</v>
      </c>
      <c r="O96" s="155">
        <f>O97</f>
        <v>0</v>
      </c>
      <c r="P96" s="155">
        <f>P97</f>
        <v>0</v>
      </c>
    </row>
    <row r="97" spans="1:16" ht="15" customHeight="1" x14ac:dyDescent="0.35">
      <c r="A97" s="157" t="s">
        <v>724</v>
      </c>
      <c r="B97" s="151">
        <f t="shared" si="115"/>
        <v>0</v>
      </c>
      <c r="C97" s="152">
        <f t="shared" si="116"/>
        <v>0</v>
      </c>
      <c r="D97" s="153"/>
      <c r="E97" s="153"/>
      <c r="F97" s="154">
        <f t="shared" si="117"/>
        <v>0</v>
      </c>
      <c r="G97" s="155"/>
      <c r="H97" s="155"/>
      <c r="I97" s="155"/>
      <c r="J97" s="155"/>
      <c r="K97" s="155"/>
      <c r="L97" s="155"/>
      <c r="M97" s="155"/>
      <c r="N97" s="156"/>
      <c r="O97" s="155"/>
      <c r="P97" s="63"/>
    </row>
    <row r="98" spans="1:16" ht="30" customHeight="1" x14ac:dyDescent="0.35">
      <c r="A98" s="158" t="s">
        <v>55</v>
      </c>
      <c r="B98" s="151">
        <f t="shared" si="115"/>
        <v>29715</v>
      </c>
      <c r="C98" s="152">
        <f t="shared" si="116"/>
        <v>3328</v>
      </c>
      <c r="D98" s="153">
        <f>2693+D99</f>
        <v>2693</v>
      </c>
      <c r="E98" s="153">
        <f>635+E99</f>
        <v>635</v>
      </c>
      <c r="F98" s="154">
        <f t="shared" si="117"/>
        <v>26387</v>
      </c>
      <c r="G98" s="155">
        <f t="shared" ref="G98" si="146">+G99</f>
        <v>0</v>
      </c>
      <c r="H98" s="155">
        <f>21487+H99</f>
        <v>21487</v>
      </c>
      <c r="I98" s="155">
        <f>4900+I99</f>
        <v>4900</v>
      </c>
      <c r="J98" s="155">
        <f t="shared" si="15"/>
        <v>0</v>
      </c>
      <c r="K98" s="155">
        <f t="shared" ref="K98" si="147">+K99</f>
        <v>0</v>
      </c>
      <c r="L98" s="155">
        <f t="shared" ref="L98" si="148">+L99</f>
        <v>0</v>
      </c>
      <c r="M98" s="155">
        <f t="shared" ref="M98" si="149">+M99</f>
        <v>0</v>
      </c>
      <c r="N98" s="156">
        <f>+N99</f>
        <v>0</v>
      </c>
      <c r="O98" s="155">
        <f>O99</f>
        <v>0</v>
      </c>
      <c r="P98" s="155">
        <f>P99</f>
        <v>0</v>
      </c>
    </row>
    <row r="99" spans="1:16" ht="15" customHeight="1" x14ac:dyDescent="0.35">
      <c r="A99" s="157" t="s">
        <v>724</v>
      </c>
      <c r="B99" s="151">
        <f t="shared" si="115"/>
        <v>0</v>
      </c>
      <c r="C99" s="152">
        <f t="shared" si="116"/>
        <v>0</v>
      </c>
      <c r="D99" s="153"/>
      <c r="E99" s="153"/>
      <c r="F99" s="154">
        <f t="shared" si="117"/>
        <v>0</v>
      </c>
      <c r="G99" s="155"/>
      <c r="H99" s="155"/>
      <c r="I99" s="155"/>
      <c r="J99" s="155"/>
      <c r="K99" s="155"/>
      <c r="L99" s="155"/>
      <c r="M99" s="155"/>
      <c r="N99" s="156"/>
      <c r="O99" s="155"/>
      <c r="P99" s="63"/>
    </row>
    <row r="100" spans="1:16" ht="30" customHeight="1" x14ac:dyDescent="0.35">
      <c r="A100" s="158" t="s">
        <v>147</v>
      </c>
      <c r="B100" s="151">
        <f t="shared" si="115"/>
        <v>10428</v>
      </c>
      <c r="C100" s="152">
        <f t="shared" si="116"/>
        <v>2195</v>
      </c>
      <c r="D100" s="153">
        <f>1776+D101</f>
        <v>1776</v>
      </c>
      <c r="E100" s="153">
        <f>419+E101</f>
        <v>419</v>
      </c>
      <c r="F100" s="154">
        <f t="shared" si="117"/>
        <v>8233</v>
      </c>
      <c r="G100" s="155">
        <f t="shared" ref="G100" si="150">+G101</f>
        <v>0</v>
      </c>
      <c r="H100" s="155">
        <f>3333+H101</f>
        <v>3333</v>
      </c>
      <c r="I100" s="155">
        <f>4900+I101</f>
        <v>4900</v>
      </c>
      <c r="J100" s="155">
        <f t="shared" ref="J100:J162" si="151">+J101</f>
        <v>0</v>
      </c>
      <c r="K100" s="155">
        <f t="shared" ref="K100" si="152">+K101</f>
        <v>0</v>
      </c>
      <c r="L100" s="155">
        <f t="shared" ref="L100" si="153">+L101</f>
        <v>0</v>
      </c>
      <c r="M100" s="155">
        <f t="shared" ref="M100" si="154">+M101</f>
        <v>0</v>
      </c>
      <c r="N100" s="156">
        <f>+N101</f>
        <v>0</v>
      </c>
      <c r="O100" s="155">
        <f>O101</f>
        <v>0</v>
      </c>
      <c r="P100" s="155">
        <f>P101</f>
        <v>0</v>
      </c>
    </row>
    <row r="101" spans="1:16" ht="15" customHeight="1" x14ac:dyDescent="0.35">
      <c r="A101" s="157" t="s">
        <v>724</v>
      </c>
      <c r="B101" s="151">
        <f t="shared" si="115"/>
        <v>0</v>
      </c>
      <c r="C101" s="152">
        <f t="shared" si="116"/>
        <v>0</v>
      </c>
      <c r="D101" s="153"/>
      <c r="E101" s="153"/>
      <c r="F101" s="154">
        <f t="shared" si="117"/>
        <v>0</v>
      </c>
      <c r="G101" s="155"/>
      <c r="H101" s="155"/>
      <c r="I101" s="155"/>
      <c r="J101" s="155"/>
      <c r="K101" s="155"/>
      <c r="L101" s="155"/>
      <c r="M101" s="155"/>
      <c r="N101" s="156"/>
      <c r="O101" s="155"/>
      <c r="P101" s="63"/>
    </row>
    <row r="102" spans="1:16" ht="30" customHeight="1" x14ac:dyDescent="0.35">
      <c r="A102" s="158" t="s">
        <v>148</v>
      </c>
      <c r="B102" s="151">
        <f t="shared" si="115"/>
        <v>42204</v>
      </c>
      <c r="C102" s="152">
        <f t="shared" si="116"/>
        <v>9997</v>
      </c>
      <c r="D102" s="153">
        <f>8089+D103</f>
        <v>8089</v>
      </c>
      <c r="E102" s="153">
        <f>1908+E103</f>
        <v>1908</v>
      </c>
      <c r="F102" s="154">
        <f t="shared" si="117"/>
        <v>32207</v>
      </c>
      <c r="G102" s="155">
        <f t="shared" ref="G102" si="155">+G103</f>
        <v>0</v>
      </c>
      <c r="H102" s="155">
        <f>20107+H103</f>
        <v>20107</v>
      </c>
      <c r="I102" s="155">
        <f>12100+I103</f>
        <v>12100</v>
      </c>
      <c r="J102" s="155">
        <f t="shared" si="151"/>
        <v>0</v>
      </c>
      <c r="K102" s="155">
        <f t="shared" ref="K102" si="156">+K103</f>
        <v>0</v>
      </c>
      <c r="L102" s="155">
        <f t="shared" ref="L102" si="157">+L103</f>
        <v>0</v>
      </c>
      <c r="M102" s="155">
        <f t="shared" ref="M102" si="158">+M103</f>
        <v>0</v>
      </c>
      <c r="N102" s="156">
        <f>+N103</f>
        <v>0</v>
      </c>
      <c r="O102" s="155">
        <f>O103</f>
        <v>0</v>
      </c>
      <c r="P102" s="155">
        <f>P103</f>
        <v>0</v>
      </c>
    </row>
    <row r="103" spans="1:16" ht="15" customHeight="1" x14ac:dyDescent="0.35">
      <c r="A103" s="157" t="s">
        <v>724</v>
      </c>
      <c r="B103" s="151">
        <f t="shared" si="115"/>
        <v>0</v>
      </c>
      <c r="C103" s="152">
        <f t="shared" si="116"/>
        <v>0</v>
      </c>
      <c r="D103" s="153"/>
      <c r="E103" s="153"/>
      <c r="F103" s="154">
        <f t="shared" si="117"/>
        <v>0</v>
      </c>
      <c r="G103" s="155"/>
      <c r="H103" s="155"/>
      <c r="I103" s="155"/>
      <c r="J103" s="155"/>
      <c r="K103" s="155"/>
      <c r="L103" s="155"/>
      <c r="M103" s="155"/>
      <c r="N103" s="156"/>
      <c r="O103" s="155"/>
      <c r="P103" s="63"/>
    </row>
    <row r="104" spans="1:16" ht="40.5" customHeight="1" x14ac:dyDescent="0.35">
      <c r="A104" s="158" t="s">
        <v>507</v>
      </c>
      <c r="B104" s="151">
        <f t="shared" si="115"/>
        <v>465583</v>
      </c>
      <c r="C104" s="152">
        <f t="shared" si="116"/>
        <v>0</v>
      </c>
      <c r="D104" s="153">
        <f>+D105</f>
        <v>0</v>
      </c>
      <c r="E104" s="153">
        <f>+E105</f>
        <v>0</v>
      </c>
      <c r="F104" s="154">
        <f t="shared" si="117"/>
        <v>465583</v>
      </c>
      <c r="G104" s="155">
        <f t="shared" ref="G104" si="159">+G105</f>
        <v>0</v>
      </c>
      <c r="H104" s="155">
        <f>465583+H105</f>
        <v>465583</v>
      </c>
      <c r="I104" s="155">
        <f>+I105</f>
        <v>0</v>
      </c>
      <c r="J104" s="155">
        <f t="shared" si="151"/>
        <v>0</v>
      </c>
      <c r="K104" s="155">
        <f t="shared" ref="K104" si="160">+K105</f>
        <v>0</v>
      </c>
      <c r="L104" s="155">
        <f t="shared" ref="L104" si="161">+L105</f>
        <v>0</v>
      </c>
      <c r="M104" s="155">
        <f t="shared" ref="M104" si="162">+M105</f>
        <v>0</v>
      </c>
      <c r="N104" s="156">
        <f>+N105</f>
        <v>0</v>
      </c>
      <c r="O104" s="155">
        <f>O105</f>
        <v>0</v>
      </c>
      <c r="P104" s="155">
        <f>P105</f>
        <v>0</v>
      </c>
    </row>
    <row r="105" spans="1:16" ht="15" customHeight="1" x14ac:dyDescent="0.35">
      <c r="A105" s="157" t="s">
        <v>724</v>
      </c>
      <c r="B105" s="151">
        <f t="shared" si="115"/>
        <v>0</v>
      </c>
      <c r="C105" s="152">
        <f t="shared" si="116"/>
        <v>0</v>
      </c>
      <c r="D105" s="153"/>
      <c r="E105" s="153"/>
      <c r="F105" s="154">
        <f t="shared" si="117"/>
        <v>0</v>
      </c>
      <c r="G105" s="155"/>
      <c r="H105" s="155"/>
      <c r="I105" s="155"/>
      <c r="J105" s="155"/>
      <c r="K105" s="155"/>
      <c r="L105" s="155"/>
      <c r="M105" s="155"/>
      <c r="N105" s="156"/>
      <c r="O105" s="155"/>
      <c r="P105" s="63"/>
    </row>
    <row r="106" spans="1:16" ht="20.25" customHeight="1" x14ac:dyDescent="0.35">
      <c r="A106" s="150" t="s">
        <v>74</v>
      </c>
      <c r="B106" s="151">
        <f t="shared" si="115"/>
        <v>42183</v>
      </c>
      <c r="C106" s="152">
        <f t="shared" si="116"/>
        <v>1483</v>
      </c>
      <c r="D106" s="153">
        <f>1200+D107</f>
        <v>1200</v>
      </c>
      <c r="E106" s="153">
        <f>283+E107</f>
        <v>283</v>
      </c>
      <c r="F106" s="154">
        <f t="shared" si="117"/>
        <v>1100</v>
      </c>
      <c r="G106" s="155">
        <f t="shared" ref="G106" si="163">+G107</f>
        <v>0</v>
      </c>
      <c r="H106" s="155">
        <f>1100+H107</f>
        <v>1100</v>
      </c>
      <c r="I106" s="155">
        <f t="shared" ref="I106" si="164">+I107</f>
        <v>0</v>
      </c>
      <c r="J106" s="155">
        <f t="shared" si="151"/>
        <v>0</v>
      </c>
      <c r="K106" s="155">
        <f t="shared" ref="K106" si="165">+K107</f>
        <v>0</v>
      </c>
      <c r="L106" s="155">
        <f t="shared" ref="L106" si="166">+L107</f>
        <v>0</v>
      </c>
      <c r="M106" s="155">
        <f t="shared" ref="M106" si="167">+M107</f>
        <v>0</v>
      </c>
      <c r="N106" s="156">
        <f>+N107</f>
        <v>0</v>
      </c>
      <c r="O106" s="155">
        <f>39600+O107</f>
        <v>39600</v>
      </c>
      <c r="P106" s="63">
        <f>+P107</f>
        <v>0</v>
      </c>
    </row>
    <row r="107" spans="1:16" ht="15" customHeight="1" x14ac:dyDescent="0.35">
      <c r="A107" s="157" t="s">
        <v>724</v>
      </c>
      <c r="B107" s="151">
        <f t="shared" si="115"/>
        <v>0</v>
      </c>
      <c r="C107" s="152">
        <f t="shared" si="116"/>
        <v>0</v>
      </c>
      <c r="D107" s="153"/>
      <c r="E107" s="153"/>
      <c r="F107" s="154">
        <f t="shared" si="117"/>
        <v>0</v>
      </c>
      <c r="G107" s="155"/>
      <c r="H107" s="155"/>
      <c r="I107" s="155"/>
      <c r="J107" s="155"/>
      <c r="K107" s="155"/>
      <c r="L107" s="155"/>
      <c r="M107" s="155"/>
      <c r="N107" s="156"/>
      <c r="O107" s="155"/>
      <c r="P107" s="63"/>
    </row>
    <row r="108" spans="1:16" ht="45" customHeight="1" x14ac:dyDescent="0.35">
      <c r="A108" s="150" t="s">
        <v>611</v>
      </c>
      <c r="B108" s="151">
        <f t="shared" si="115"/>
        <v>126189</v>
      </c>
      <c r="C108" s="152">
        <f t="shared" si="116"/>
        <v>0</v>
      </c>
      <c r="D108" s="153">
        <f>+D109</f>
        <v>0</v>
      </c>
      <c r="E108" s="153">
        <f>+E109</f>
        <v>0</v>
      </c>
      <c r="F108" s="154">
        <f t="shared" si="117"/>
        <v>0</v>
      </c>
      <c r="G108" s="155">
        <f t="shared" ref="G108" si="168">+G109</f>
        <v>0</v>
      </c>
      <c r="H108" s="155">
        <f>+H109</f>
        <v>0</v>
      </c>
      <c r="I108" s="155">
        <f t="shared" ref="I108" si="169">+I109</f>
        <v>0</v>
      </c>
      <c r="J108" s="155">
        <f t="shared" si="151"/>
        <v>0</v>
      </c>
      <c r="K108" s="155">
        <f t="shared" ref="K108" si="170">+K109</f>
        <v>0</v>
      </c>
      <c r="L108" s="155">
        <f t="shared" ref="L108" si="171">+L109</f>
        <v>0</v>
      </c>
      <c r="M108" s="155">
        <f t="shared" ref="M108" si="172">+M109</f>
        <v>0</v>
      </c>
      <c r="N108" s="156">
        <f>126189+N109</f>
        <v>126189</v>
      </c>
      <c r="O108" s="153">
        <f>+O109</f>
        <v>0</v>
      </c>
      <c r="P108" s="63">
        <f t="shared" ref="P108" si="173">+P109</f>
        <v>0</v>
      </c>
    </row>
    <row r="109" spans="1:16" ht="15" customHeight="1" x14ac:dyDescent="0.35">
      <c r="A109" s="157" t="s">
        <v>724</v>
      </c>
      <c r="B109" s="151">
        <f t="shared" si="115"/>
        <v>0</v>
      </c>
      <c r="C109" s="152">
        <f t="shared" si="116"/>
        <v>0</v>
      </c>
      <c r="D109" s="153"/>
      <c r="E109" s="153"/>
      <c r="F109" s="154">
        <f t="shared" si="117"/>
        <v>0</v>
      </c>
      <c r="G109" s="155"/>
      <c r="H109" s="155"/>
      <c r="I109" s="155"/>
      <c r="J109" s="155"/>
      <c r="K109" s="155"/>
      <c r="L109" s="155"/>
      <c r="M109" s="155"/>
      <c r="N109" s="156"/>
      <c r="O109" s="155"/>
      <c r="P109" s="63"/>
    </row>
    <row r="110" spans="1:16" ht="45" customHeight="1" x14ac:dyDescent="0.35">
      <c r="A110" s="150" t="s">
        <v>56</v>
      </c>
      <c r="B110" s="151">
        <f t="shared" si="115"/>
        <v>165646</v>
      </c>
      <c r="C110" s="152">
        <f t="shared" si="116"/>
        <v>0</v>
      </c>
      <c r="D110" s="153">
        <f t="shared" ref="D110" si="174">+D111</f>
        <v>0</v>
      </c>
      <c r="E110" s="153">
        <f t="shared" ref="E110" si="175">+E111</f>
        <v>0</v>
      </c>
      <c r="F110" s="154">
        <f t="shared" si="117"/>
        <v>165646</v>
      </c>
      <c r="G110" s="155">
        <f t="shared" ref="G110" si="176">+G111</f>
        <v>0</v>
      </c>
      <c r="H110" s="155">
        <f>115841+50000+H111</f>
        <v>165646</v>
      </c>
      <c r="I110" s="155">
        <f t="shared" ref="I110" si="177">+I111</f>
        <v>0</v>
      </c>
      <c r="J110" s="155">
        <f t="shared" si="151"/>
        <v>0</v>
      </c>
      <c r="K110" s="155">
        <f t="shared" ref="K110" si="178">+K111</f>
        <v>0</v>
      </c>
      <c r="L110" s="155">
        <f t="shared" ref="L110" si="179">+L111</f>
        <v>0</v>
      </c>
      <c r="M110" s="155">
        <f t="shared" ref="M110" si="180">+M111</f>
        <v>0</v>
      </c>
      <c r="N110" s="156">
        <f>+N111</f>
        <v>0</v>
      </c>
      <c r="O110" s="153">
        <f>+O111</f>
        <v>0</v>
      </c>
      <c r="P110" s="63">
        <f t="shared" ref="P110" si="181">+P111</f>
        <v>0</v>
      </c>
    </row>
    <row r="111" spans="1:16" ht="15" customHeight="1" x14ac:dyDescent="0.35">
      <c r="A111" s="157" t="s">
        <v>724</v>
      </c>
      <c r="B111" s="151">
        <f t="shared" si="115"/>
        <v>-195</v>
      </c>
      <c r="C111" s="152">
        <f t="shared" si="116"/>
        <v>0</v>
      </c>
      <c r="D111" s="153"/>
      <c r="E111" s="153"/>
      <c r="F111" s="154">
        <f t="shared" si="117"/>
        <v>-195</v>
      </c>
      <c r="G111" s="155"/>
      <c r="H111" s="155">
        <v>-195</v>
      </c>
      <c r="I111" s="155"/>
      <c r="J111" s="155"/>
      <c r="K111" s="155"/>
      <c r="L111" s="155"/>
      <c r="M111" s="155"/>
      <c r="N111" s="156"/>
      <c r="O111" s="155"/>
      <c r="P111" s="63"/>
    </row>
    <row r="112" spans="1:16" ht="35.4" customHeight="1" x14ac:dyDescent="0.35">
      <c r="A112" s="150" t="s">
        <v>801</v>
      </c>
      <c r="B112" s="151">
        <f t="shared" si="115"/>
        <v>7636</v>
      </c>
      <c r="C112" s="152">
        <f t="shared" si="116"/>
        <v>0</v>
      </c>
      <c r="D112" s="153">
        <f t="shared" ref="D112" si="182">+D113</f>
        <v>0</v>
      </c>
      <c r="E112" s="153">
        <f t="shared" ref="E112" si="183">+E113</f>
        <v>0</v>
      </c>
      <c r="F112" s="154">
        <f t="shared" si="117"/>
        <v>7636</v>
      </c>
      <c r="G112" s="155">
        <f t="shared" ref="G112" si="184">+G113</f>
        <v>0</v>
      </c>
      <c r="H112" s="155">
        <f>6302+H113</f>
        <v>6302</v>
      </c>
      <c r="I112" s="155">
        <f>1114+I113</f>
        <v>1114</v>
      </c>
      <c r="J112" s="155">
        <f t="shared" si="151"/>
        <v>0</v>
      </c>
      <c r="K112" s="155">
        <f>220+K113</f>
        <v>220</v>
      </c>
      <c r="L112" s="155">
        <f t="shared" ref="L112" si="185">+L113</f>
        <v>0</v>
      </c>
      <c r="M112" s="155">
        <f t="shared" ref="M112" si="186">+M113</f>
        <v>0</v>
      </c>
      <c r="N112" s="156">
        <f>+N113</f>
        <v>0</v>
      </c>
      <c r="O112" s="153">
        <f>+O113</f>
        <v>0</v>
      </c>
      <c r="P112" s="63">
        <f t="shared" ref="P112" si="187">+P113</f>
        <v>0</v>
      </c>
    </row>
    <row r="113" spans="1:16" ht="15" customHeight="1" x14ac:dyDescent="0.35">
      <c r="A113" s="157" t="s">
        <v>724</v>
      </c>
      <c r="B113" s="151">
        <f t="shared" si="115"/>
        <v>0</v>
      </c>
      <c r="C113" s="152">
        <f t="shared" si="116"/>
        <v>0</v>
      </c>
      <c r="D113" s="153"/>
      <c r="E113" s="153"/>
      <c r="F113" s="154">
        <f t="shared" si="117"/>
        <v>0</v>
      </c>
      <c r="G113" s="155"/>
      <c r="H113" s="155"/>
      <c r="I113" s="155"/>
      <c r="J113" s="155"/>
      <c r="K113" s="155"/>
      <c r="L113" s="155"/>
      <c r="M113" s="155"/>
      <c r="N113" s="156"/>
      <c r="O113" s="155"/>
      <c r="P113" s="63"/>
    </row>
    <row r="114" spans="1:16" ht="33.6" customHeight="1" x14ac:dyDescent="0.35">
      <c r="A114" s="150" t="s">
        <v>812</v>
      </c>
      <c r="B114" s="151">
        <f t="shared" si="115"/>
        <v>9286</v>
      </c>
      <c r="C114" s="152">
        <f t="shared" si="116"/>
        <v>0</v>
      </c>
      <c r="D114" s="153">
        <f t="shared" ref="D114" si="188">+D115</f>
        <v>0</v>
      </c>
      <c r="E114" s="153">
        <f t="shared" ref="E114" si="189">+E115</f>
        <v>0</v>
      </c>
      <c r="F114" s="154">
        <f t="shared" si="117"/>
        <v>9286</v>
      </c>
      <c r="G114" s="155">
        <f t="shared" ref="G114" si="190">+G115</f>
        <v>0</v>
      </c>
      <c r="H114" s="155">
        <f>8036+H115</f>
        <v>8036</v>
      </c>
      <c r="I114" s="155">
        <f>750+I115</f>
        <v>750</v>
      </c>
      <c r="J114" s="155">
        <f t="shared" si="151"/>
        <v>0</v>
      </c>
      <c r="K114" s="155">
        <f>500+K115</f>
        <v>500</v>
      </c>
      <c r="L114" s="155">
        <f t="shared" ref="L114" si="191">+L115</f>
        <v>0</v>
      </c>
      <c r="M114" s="155">
        <f t="shared" ref="M114" si="192">+M115</f>
        <v>0</v>
      </c>
      <c r="N114" s="156">
        <f>+N115</f>
        <v>0</v>
      </c>
      <c r="O114" s="153">
        <f>+O115</f>
        <v>0</v>
      </c>
      <c r="P114" s="63">
        <f t="shared" ref="P114" si="193">+P115</f>
        <v>0</v>
      </c>
    </row>
    <row r="115" spans="1:16" ht="15" customHeight="1" x14ac:dyDescent="0.35">
      <c r="A115" s="157" t="s">
        <v>724</v>
      </c>
      <c r="B115" s="151">
        <f t="shared" si="115"/>
        <v>0</v>
      </c>
      <c r="C115" s="152">
        <f t="shared" si="116"/>
        <v>0</v>
      </c>
      <c r="D115" s="153"/>
      <c r="E115" s="153"/>
      <c r="F115" s="154">
        <f t="shared" si="117"/>
        <v>0</v>
      </c>
      <c r="G115" s="155"/>
      <c r="H115" s="155"/>
      <c r="I115" s="155"/>
      <c r="J115" s="155"/>
      <c r="K115" s="155"/>
      <c r="L115" s="155"/>
      <c r="M115" s="155"/>
      <c r="N115" s="156"/>
      <c r="O115" s="155"/>
      <c r="P115" s="63"/>
    </row>
    <row r="116" spans="1:16" ht="30" customHeight="1" x14ac:dyDescent="0.35">
      <c r="A116" s="150" t="s">
        <v>813</v>
      </c>
      <c r="B116" s="151">
        <f t="shared" si="115"/>
        <v>6175</v>
      </c>
      <c r="C116" s="152">
        <f t="shared" si="116"/>
        <v>0</v>
      </c>
      <c r="D116" s="153">
        <f t="shared" ref="D116" si="194">+D117</f>
        <v>0</v>
      </c>
      <c r="E116" s="153">
        <f t="shared" ref="E116" si="195">+E117</f>
        <v>0</v>
      </c>
      <c r="F116" s="154">
        <f t="shared" si="117"/>
        <v>6175</v>
      </c>
      <c r="G116" s="155">
        <f t="shared" ref="G116" si="196">+G117</f>
        <v>0</v>
      </c>
      <c r="H116" s="155">
        <f>4140+H117</f>
        <v>4140</v>
      </c>
      <c r="I116" s="155">
        <f>1935+I117</f>
        <v>1935</v>
      </c>
      <c r="J116" s="155">
        <f t="shared" si="151"/>
        <v>0</v>
      </c>
      <c r="K116" s="155">
        <f>100+K117</f>
        <v>100</v>
      </c>
      <c r="L116" s="155">
        <f t="shared" ref="L116" si="197">+L117</f>
        <v>0</v>
      </c>
      <c r="M116" s="155">
        <f t="shared" ref="M116" si="198">+M117</f>
        <v>0</v>
      </c>
      <c r="N116" s="156">
        <f>+N117</f>
        <v>0</v>
      </c>
      <c r="O116" s="153">
        <f>+O117</f>
        <v>0</v>
      </c>
      <c r="P116" s="63">
        <f t="shared" ref="P116" si="199">+P117</f>
        <v>0</v>
      </c>
    </row>
    <row r="117" spans="1:16" ht="15" customHeight="1" x14ac:dyDescent="0.35">
      <c r="A117" s="157" t="s">
        <v>724</v>
      </c>
      <c r="B117" s="151">
        <f t="shared" si="115"/>
        <v>0</v>
      </c>
      <c r="C117" s="152">
        <f t="shared" si="116"/>
        <v>0</v>
      </c>
      <c r="D117" s="153"/>
      <c r="E117" s="153"/>
      <c r="F117" s="154">
        <f t="shared" si="117"/>
        <v>0</v>
      </c>
      <c r="G117" s="155"/>
      <c r="H117" s="155"/>
      <c r="I117" s="155"/>
      <c r="J117" s="155"/>
      <c r="K117" s="155"/>
      <c r="L117" s="155"/>
      <c r="M117" s="155"/>
      <c r="N117" s="156"/>
      <c r="O117" s="155"/>
      <c r="P117" s="63"/>
    </row>
    <row r="118" spans="1:16" ht="30" customHeight="1" x14ac:dyDescent="0.35">
      <c r="A118" s="150" t="s">
        <v>814</v>
      </c>
      <c r="B118" s="151">
        <f t="shared" si="115"/>
        <v>4925</v>
      </c>
      <c r="C118" s="152">
        <f t="shared" si="116"/>
        <v>0</v>
      </c>
      <c r="D118" s="153">
        <f t="shared" ref="D118" si="200">+D119</f>
        <v>0</v>
      </c>
      <c r="E118" s="153">
        <f t="shared" ref="E118" si="201">+E119</f>
        <v>0</v>
      </c>
      <c r="F118" s="154">
        <f t="shared" si="117"/>
        <v>4925</v>
      </c>
      <c r="G118" s="155">
        <f t="shared" ref="G118" si="202">+G119</f>
        <v>0</v>
      </c>
      <c r="H118" s="155">
        <f>4735+H119</f>
        <v>4735</v>
      </c>
      <c r="I118" s="155">
        <f>150+I119</f>
        <v>150</v>
      </c>
      <c r="J118" s="155">
        <f t="shared" si="151"/>
        <v>0</v>
      </c>
      <c r="K118" s="155">
        <f>40+K119</f>
        <v>40</v>
      </c>
      <c r="L118" s="155">
        <f t="shared" ref="L118" si="203">+L119</f>
        <v>0</v>
      </c>
      <c r="M118" s="155">
        <f t="shared" ref="M118" si="204">+M119</f>
        <v>0</v>
      </c>
      <c r="N118" s="156">
        <f>+N119</f>
        <v>0</v>
      </c>
      <c r="O118" s="153">
        <f>+O119</f>
        <v>0</v>
      </c>
      <c r="P118" s="63">
        <f t="shared" ref="P118" si="205">+P119</f>
        <v>0</v>
      </c>
    </row>
    <row r="119" spans="1:16" ht="15" customHeight="1" x14ac:dyDescent="0.35">
      <c r="A119" s="157" t="s">
        <v>724</v>
      </c>
      <c r="B119" s="151">
        <f t="shared" si="115"/>
        <v>0</v>
      </c>
      <c r="C119" s="152">
        <f t="shared" si="116"/>
        <v>0</v>
      </c>
      <c r="D119" s="153"/>
      <c r="E119" s="153"/>
      <c r="F119" s="154">
        <f t="shared" si="117"/>
        <v>0</v>
      </c>
      <c r="G119" s="155"/>
      <c r="H119" s="155"/>
      <c r="I119" s="155"/>
      <c r="J119" s="155"/>
      <c r="K119" s="155"/>
      <c r="L119" s="155"/>
      <c r="M119" s="155"/>
      <c r="N119" s="156"/>
      <c r="O119" s="155"/>
      <c r="P119" s="63"/>
    </row>
    <row r="120" spans="1:16" ht="30" customHeight="1" x14ac:dyDescent="0.35">
      <c r="A120" s="150" t="s">
        <v>815</v>
      </c>
      <c r="B120" s="151">
        <f t="shared" si="115"/>
        <v>3780</v>
      </c>
      <c r="C120" s="152">
        <f t="shared" si="116"/>
        <v>0</v>
      </c>
      <c r="D120" s="153">
        <f t="shared" ref="D120" si="206">+D121</f>
        <v>0</v>
      </c>
      <c r="E120" s="153">
        <f t="shared" ref="E120" si="207">+E121</f>
        <v>0</v>
      </c>
      <c r="F120" s="154">
        <f t="shared" si="117"/>
        <v>3780</v>
      </c>
      <c r="G120" s="155">
        <f t="shared" ref="G120" si="208">+G121</f>
        <v>0</v>
      </c>
      <c r="H120" s="155">
        <f>2880+H121</f>
        <v>2880</v>
      </c>
      <c r="I120" s="155">
        <f>700+I121</f>
        <v>700</v>
      </c>
      <c r="J120" s="155">
        <f t="shared" si="151"/>
        <v>0</v>
      </c>
      <c r="K120" s="155">
        <f>200+K121</f>
        <v>200</v>
      </c>
      <c r="L120" s="155">
        <f t="shared" ref="L120" si="209">+L121</f>
        <v>0</v>
      </c>
      <c r="M120" s="155">
        <f t="shared" ref="M120" si="210">+M121</f>
        <v>0</v>
      </c>
      <c r="N120" s="156">
        <f>+N121</f>
        <v>0</v>
      </c>
      <c r="O120" s="153">
        <f>+O121</f>
        <v>0</v>
      </c>
      <c r="P120" s="63">
        <f t="shared" ref="P120" si="211">+P121</f>
        <v>0</v>
      </c>
    </row>
    <row r="121" spans="1:16" ht="15" customHeight="1" x14ac:dyDescent="0.35">
      <c r="A121" s="157" t="s">
        <v>724</v>
      </c>
      <c r="B121" s="151">
        <f t="shared" si="115"/>
        <v>0</v>
      </c>
      <c r="C121" s="152">
        <f t="shared" si="116"/>
        <v>0</v>
      </c>
      <c r="D121" s="153"/>
      <c r="E121" s="153"/>
      <c r="F121" s="154">
        <f t="shared" si="117"/>
        <v>0</v>
      </c>
      <c r="G121" s="155"/>
      <c r="H121" s="155"/>
      <c r="I121" s="155"/>
      <c r="J121" s="155"/>
      <c r="K121" s="155"/>
      <c r="L121" s="155"/>
      <c r="M121" s="155"/>
      <c r="N121" s="156"/>
      <c r="O121" s="155"/>
      <c r="P121" s="63"/>
    </row>
    <row r="122" spans="1:16" ht="30" customHeight="1" x14ac:dyDescent="0.35">
      <c r="A122" s="150" t="s">
        <v>816</v>
      </c>
      <c r="B122" s="151">
        <f t="shared" si="115"/>
        <v>6030</v>
      </c>
      <c r="C122" s="152">
        <f t="shared" si="116"/>
        <v>0</v>
      </c>
      <c r="D122" s="153">
        <f t="shared" ref="D122" si="212">+D123</f>
        <v>0</v>
      </c>
      <c r="E122" s="153">
        <f t="shared" ref="E122" si="213">+E123</f>
        <v>0</v>
      </c>
      <c r="F122" s="154">
        <f t="shared" si="117"/>
        <v>6030</v>
      </c>
      <c r="G122" s="155">
        <f t="shared" ref="G122" si="214">+G123</f>
        <v>0</v>
      </c>
      <c r="H122" s="155">
        <f>5430+H123</f>
        <v>5430</v>
      </c>
      <c r="I122" s="155">
        <f>555+I123</f>
        <v>555</v>
      </c>
      <c r="J122" s="155">
        <f t="shared" si="151"/>
        <v>0</v>
      </c>
      <c r="K122" s="155">
        <f>45+K123</f>
        <v>45</v>
      </c>
      <c r="L122" s="155">
        <f t="shared" ref="L122" si="215">+L123</f>
        <v>0</v>
      </c>
      <c r="M122" s="155">
        <f t="shared" ref="M122" si="216">+M123</f>
        <v>0</v>
      </c>
      <c r="N122" s="156">
        <f>+N123</f>
        <v>0</v>
      </c>
      <c r="O122" s="153">
        <f>+O123</f>
        <v>0</v>
      </c>
      <c r="P122" s="63">
        <f t="shared" ref="P122" si="217">+P123</f>
        <v>0</v>
      </c>
    </row>
    <row r="123" spans="1:16" ht="15" customHeight="1" x14ac:dyDescent="0.35">
      <c r="A123" s="157" t="s">
        <v>724</v>
      </c>
      <c r="B123" s="151">
        <f t="shared" si="115"/>
        <v>0</v>
      </c>
      <c r="C123" s="152">
        <f t="shared" si="116"/>
        <v>0</v>
      </c>
      <c r="D123" s="153"/>
      <c r="E123" s="153"/>
      <c r="F123" s="154">
        <f t="shared" si="117"/>
        <v>0</v>
      </c>
      <c r="G123" s="155"/>
      <c r="H123" s="155"/>
      <c r="I123" s="155"/>
      <c r="J123" s="155"/>
      <c r="K123" s="155"/>
      <c r="L123" s="155"/>
      <c r="M123" s="155"/>
      <c r="N123" s="156"/>
      <c r="O123" s="155"/>
      <c r="P123" s="63"/>
    </row>
    <row r="124" spans="1:16" ht="30" customHeight="1" x14ac:dyDescent="0.35">
      <c r="A124" s="150" t="s">
        <v>817</v>
      </c>
      <c r="B124" s="151">
        <f t="shared" si="115"/>
        <v>5250</v>
      </c>
      <c r="C124" s="152">
        <f t="shared" si="116"/>
        <v>0</v>
      </c>
      <c r="D124" s="153">
        <f t="shared" ref="D124" si="218">+D125</f>
        <v>0</v>
      </c>
      <c r="E124" s="153">
        <f t="shared" ref="E124" si="219">+E125</f>
        <v>0</v>
      </c>
      <c r="F124" s="154">
        <f t="shared" si="117"/>
        <v>5250</v>
      </c>
      <c r="G124" s="155">
        <f t="shared" ref="G124" si="220">+G125</f>
        <v>0</v>
      </c>
      <c r="H124" s="155">
        <f>4430+H125</f>
        <v>4430</v>
      </c>
      <c r="I124" s="155">
        <f>750+I125</f>
        <v>750</v>
      </c>
      <c r="J124" s="155">
        <f t="shared" si="151"/>
        <v>0</v>
      </c>
      <c r="K124" s="155">
        <f>70+K125</f>
        <v>70</v>
      </c>
      <c r="L124" s="155">
        <f t="shared" ref="L124" si="221">+L125</f>
        <v>0</v>
      </c>
      <c r="M124" s="155">
        <f t="shared" ref="M124" si="222">+M125</f>
        <v>0</v>
      </c>
      <c r="N124" s="156">
        <f>+N125</f>
        <v>0</v>
      </c>
      <c r="O124" s="153">
        <f>+O125</f>
        <v>0</v>
      </c>
      <c r="P124" s="63">
        <f t="shared" ref="P124" si="223">+P125</f>
        <v>0</v>
      </c>
    </row>
    <row r="125" spans="1:16" ht="15" customHeight="1" x14ac:dyDescent="0.35">
      <c r="A125" s="157" t="s">
        <v>724</v>
      </c>
      <c r="B125" s="151">
        <f t="shared" si="115"/>
        <v>0</v>
      </c>
      <c r="C125" s="152">
        <f t="shared" si="116"/>
        <v>0</v>
      </c>
      <c r="D125" s="153"/>
      <c r="E125" s="153"/>
      <c r="F125" s="154">
        <f t="shared" si="117"/>
        <v>0</v>
      </c>
      <c r="G125" s="155"/>
      <c r="H125" s="155"/>
      <c r="I125" s="155"/>
      <c r="J125" s="155"/>
      <c r="K125" s="155"/>
      <c r="L125" s="155"/>
      <c r="M125" s="155"/>
      <c r="N125" s="156"/>
      <c r="O125" s="155"/>
      <c r="P125" s="63"/>
    </row>
    <row r="126" spans="1:16" ht="33" customHeight="1" x14ac:dyDescent="0.35">
      <c r="A126" s="150" t="s">
        <v>802</v>
      </c>
      <c r="B126" s="151">
        <f t="shared" si="115"/>
        <v>11300</v>
      </c>
      <c r="C126" s="152">
        <f t="shared" si="116"/>
        <v>0</v>
      </c>
      <c r="D126" s="153">
        <f t="shared" ref="D126" si="224">+D127</f>
        <v>0</v>
      </c>
      <c r="E126" s="153">
        <f t="shared" ref="E126" si="225">+E127</f>
        <v>0</v>
      </c>
      <c r="F126" s="154">
        <f t="shared" si="117"/>
        <v>11300</v>
      </c>
      <c r="G126" s="155">
        <f t="shared" ref="G126" si="226">+G127</f>
        <v>0</v>
      </c>
      <c r="H126" s="155">
        <f>7800+H127</f>
        <v>7800</v>
      </c>
      <c r="I126" s="155">
        <f>3300+I127</f>
        <v>3300</v>
      </c>
      <c r="J126" s="155">
        <f t="shared" si="151"/>
        <v>0</v>
      </c>
      <c r="K126" s="155">
        <f>200+K127</f>
        <v>200</v>
      </c>
      <c r="L126" s="155">
        <f t="shared" ref="L126" si="227">+L127</f>
        <v>0</v>
      </c>
      <c r="M126" s="155">
        <f t="shared" ref="M126" si="228">+M127</f>
        <v>0</v>
      </c>
      <c r="N126" s="156">
        <f>+N127</f>
        <v>0</v>
      </c>
      <c r="O126" s="153">
        <f>+O127</f>
        <v>0</v>
      </c>
      <c r="P126" s="63">
        <f t="shared" ref="P126" si="229">+P127</f>
        <v>0</v>
      </c>
    </row>
    <row r="127" spans="1:16" ht="15" customHeight="1" x14ac:dyDescent="0.35">
      <c r="A127" s="157" t="s">
        <v>724</v>
      </c>
      <c r="B127" s="151">
        <f t="shared" si="115"/>
        <v>0</v>
      </c>
      <c r="C127" s="152">
        <f t="shared" si="116"/>
        <v>0</v>
      </c>
      <c r="D127" s="153"/>
      <c r="E127" s="153"/>
      <c r="F127" s="154">
        <f t="shared" si="117"/>
        <v>0</v>
      </c>
      <c r="G127" s="155"/>
      <c r="H127" s="155"/>
      <c r="I127" s="155"/>
      <c r="J127" s="155"/>
      <c r="K127" s="155"/>
      <c r="L127" s="155"/>
      <c r="M127" s="155"/>
      <c r="N127" s="156"/>
      <c r="O127" s="155"/>
      <c r="P127" s="63"/>
    </row>
    <row r="128" spans="1:16" ht="36.75" customHeight="1" x14ac:dyDescent="0.35">
      <c r="A128" s="150" t="s">
        <v>803</v>
      </c>
      <c r="B128" s="151">
        <f t="shared" si="115"/>
        <v>3410</v>
      </c>
      <c r="C128" s="152">
        <f t="shared" si="116"/>
        <v>0</v>
      </c>
      <c r="D128" s="153">
        <f t="shared" ref="D128" si="230">+D129</f>
        <v>0</v>
      </c>
      <c r="E128" s="153">
        <f t="shared" ref="E128" si="231">+E129</f>
        <v>0</v>
      </c>
      <c r="F128" s="154">
        <f t="shared" si="117"/>
        <v>3410</v>
      </c>
      <c r="G128" s="155">
        <f t="shared" ref="G128" si="232">+G129</f>
        <v>0</v>
      </c>
      <c r="H128" s="155">
        <f>3210+H129</f>
        <v>3210</v>
      </c>
      <c r="I128" s="155">
        <f>140+I129</f>
        <v>140</v>
      </c>
      <c r="J128" s="155">
        <f t="shared" si="151"/>
        <v>0</v>
      </c>
      <c r="K128" s="155">
        <f>60+K129</f>
        <v>60</v>
      </c>
      <c r="L128" s="155">
        <f t="shared" ref="L128" si="233">+L129</f>
        <v>0</v>
      </c>
      <c r="M128" s="155">
        <f t="shared" ref="M128" si="234">+M129</f>
        <v>0</v>
      </c>
      <c r="N128" s="156">
        <f>+N129</f>
        <v>0</v>
      </c>
      <c r="O128" s="153">
        <f>+O129</f>
        <v>0</v>
      </c>
      <c r="P128" s="63">
        <f t="shared" ref="P128" si="235">+P129</f>
        <v>0</v>
      </c>
    </row>
    <row r="129" spans="1:16" ht="15" customHeight="1" x14ac:dyDescent="0.35">
      <c r="A129" s="157" t="s">
        <v>724</v>
      </c>
      <c r="B129" s="151">
        <f t="shared" si="115"/>
        <v>0</v>
      </c>
      <c r="C129" s="152">
        <f t="shared" si="116"/>
        <v>0</v>
      </c>
      <c r="D129" s="153"/>
      <c r="E129" s="153"/>
      <c r="F129" s="154">
        <f t="shared" si="117"/>
        <v>0</v>
      </c>
      <c r="G129" s="155"/>
      <c r="H129" s="155"/>
      <c r="I129" s="155"/>
      <c r="J129" s="155"/>
      <c r="K129" s="155"/>
      <c r="L129" s="155"/>
      <c r="M129" s="155"/>
      <c r="N129" s="156"/>
      <c r="O129" s="155"/>
      <c r="P129" s="63"/>
    </row>
    <row r="130" spans="1:16" ht="35.25" customHeight="1" x14ac:dyDescent="0.35">
      <c r="A130" s="150" t="s">
        <v>818</v>
      </c>
      <c r="B130" s="151">
        <f t="shared" si="115"/>
        <v>7090</v>
      </c>
      <c r="C130" s="152">
        <f t="shared" si="116"/>
        <v>0</v>
      </c>
      <c r="D130" s="153">
        <f t="shared" ref="D130" si="236">+D131</f>
        <v>0</v>
      </c>
      <c r="E130" s="153">
        <f t="shared" ref="E130" si="237">+E131</f>
        <v>0</v>
      </c>
      <c r="F130" s="154">
        <f t="shared" si="117"/>
        <v>7090</v>
      </c>
      <c r="G130" s="155">
        <f t="shared" ref="G130" si="238">+G131</f>
        <v>0</v>
      </c>
      <c r="H130" s="155">
        <f>6580+H131</f>
        <v>6580</v>
      </c>
      <c r="I130" s="155">
        <f>410+I131</f>
        <v>410</v>
      </c>
      <c r="J130" s="155">
        <f t="shared" si="151"/>
        <v>0</v>
      </c>
      <c r="K130" s="155">
        <f>100+K131</f>
        <v>100</v>
      </c>
      <c r="L130" s="155">
        <f t="shared" ref="L130" si="239">+L131</f>
        <v>0</v>
      </c>
      <c r="M130" s="155">
        <f t="shared" ref="M130" si="240">+M131</f>
        <v>0</v>
      </c>
      <c r="N130" s="156">
        <f>+N131</f>
        <v>0</v>
      </c>
      <c r="O130" s="153">
        <f>+O131</f>
        <v>0</v>
      </c>
      <c r="P130" s="63">
        <f t="shared" ref="P130" si="241">+P131</f>
        <v>0</v>
      </c>
    </row>
    <row r="131" spans="1:16" ht="15" customHeight="1" x14ac:dyDescent="0.35">
      <c r="A131" s="157" t="s">
        <v>724</v>
      </c>
      <c r="B131" s="151">
        <f t="shared" si="115"/>
        <v>0</v>
      </c>
      <c r="C131" s="152">
        <f t="shared" si="116"/>
        <v>0</v>
      </c>
      <c r="D131" s="153"/>
      <c r="E131" s="153"/>
      <c r="F131" s="154">
        <f t="shared" si="117"/>
        <v>0</v>
      </c>
      <c r="G131" s="155"/>
      <c r="H131" s="155"/>
      <c r="I131" s="155"/>
      <c r="J131" s="155"/>
      <c r="K131" s="155"/>
      <c r="L131" s="155"/>
      <c r="M131" s="155"/>
      <c r="N131" s="156"/>
      <c r="O131" s="155"/>
      <c r="P131" s="63"/>
    </row>
    <row r="132" spans="1:16" ht="35.25" customHeight="1" x14ac:dyDescent="0.35">
      <c r="A132" s="150" t="s">
        <v>778</v>
      </c>
      <c r="B132" s="151">
        <f t="shared" si="115"/>
        <v>2460</v>
      </c>
      <c r="C132" s="152">
        <f t="shared" si="116"/>
        <v>0</v>
      </c>
      <c r="D132" s="153">
        <f t="shared" ref="D132" si="242">+D133</f>
        <v>0</v>
      </c>
      <c r="E132" s="153">
        <f t="shared" ref="E132" si="243">+E133</f>
        <v>0</v>
      </c>
      <c r="F132" s="154">
        <f t="shared" si="117"/>
        <v>2460</v>
      </c>
      <c r="G132" s="155">
        <f t="shared" ref="G132" si="244">+G133</f>
        <v>0</v>
      </c>
      <c r="H132" s="155">
        <f>1260+H133</f>
        <v>1260</v>
      </c>
      <c r="I132" s="155">
        <f>1170+I133</f>
        <v>1170</v>
      </c>
      <c r="J132" s="155">
        <f t="shared" si="151"/>
        <v>0</v>
      </c>
      <c r="K132" s="155">
        <f>30+K133</f>
        <v>30</v>
      </c>
      <c r="L132" s="155">
        <f t="shared" ref="L132" si="245">+L133</f>
        <v>0</v>
      </c>
      <c r="M132" s="155">
        <f t="shared" ref="M132" si="246">+M133</f>
        <v>0</v>
      </c>
      <c r="N132" s="156">
        <f>+N133</f>
        <v>0</v>
      </c>
      <c r="O132" s="153">
        <f>+O133</f>
        <v>0</v>
      </c>
      <c r="P132" s="63">
        <f t="shared" ref="P132" si="247">+P133</f>
        <v>0</v>
      </c>
    </row>
    <row r="133" spans="1:16" ht="15" customHeight="1" x14ac:dyDescent="0.35">
      <c r="A133" s="157" t="s">
        <v>724</v>
      </c>
      <c r="B133" s="151">
        <f t="shared" si="115"/>
        <v>0</v>
      </c>
      <c r="C133" s="152">
        <f t="shared" si="116"/>
        <v>0</v>
      </c>
      <c r="D133" s="153"/>
      <c r="E133" s="153"/>
      <c r="F133" s="154">
        <f t="shared" si="117"/>
        <v>0</v>
      </c>
      <c r="G133" s="155"/>
      <c r="H133" s="155"/>
      <c r="I133" s="155"/>
      <c r="J133" s="155"/>
      <c r="K133" s="155"/>
      <c r="L133" s="155"/>
      <c r="M133" s="155"/>
      <c r="N133" s="156"/>
      <c r="O133" s="155"/>
      <c r="P133" s="63"/>
    </row>
    <row r="134" spans="1:16" ht="36" customHeight="1" x14ac:dyDescent="0.35">
      <c r="A134" s="150" t="s">
        <v>804</v>
      </c>
      <c r="B134" s="151">
        <f t="shared" si="115"/>
        <v>7970</v>
      </c>
      <c r="C134" s="152">
        <f t="shared" si="116"/>
        <v>0</v>
      </c>
      <c r="D134" s="153">
        <f t="shared" ref="D134" si="248">+D135</f>
        <v>0</v>
      </c>
      <c r="E134" s="153">
        <f t="shared" ref="E134" si="249">+E135</f>
        <v>0</v>
      </c>
      <c r="F134" s="154">
        <f t="shared" si="117"/>
        <v>7970</v>
      </c>
      <c r="G134" s="155">
        <f t="shared" ref="G134" si="250">+G135</f>
        <v>0</v>
      </c>
      <c r="H134" s="155">
        <f>7050+H135</f>
        <v>7050</v>
      </c>
      <c r="I134" s="155">
        <f>800+I135</f>
        <v>800</v>
      </c>
      <c r="J134" s="155">
        <f t="shared" si="151"/>
        <v>0</v>
      </c>
      <c r="K134" s="155">
        <f>120+K135</f>
        <v>120</v>
      </c>
      <c r="L134" s="155">
        <f t="shared" ref="L134" si="251">+L135</f>
        <v>0</v>
      </c>
      <c r="M134" s="155">
        <f t="shared" ref="M134" si="252">+M135</f>
        <v>0</v>
      </c>
      <c r="N134" s="156">
        <f>+N135</f>
        <v>0</v>
      </c>
      <c r="O134" s="153">
        <f>+O135</f>
        <v>0</v>
      </c>
      <c r="P134" s="63">
        <f t="shared" ref="P134" si="253">+P135</f>
        <v>0</v>
      </c>
    </row>
    <row r="135" spans="1:16" ht="15" customHeight="1" x14ac:dyDescent="0.35">
      <c r="A135" s="157" t="s">
        <v>724</v>
      </c>
      <c r="B135" s="151">
        <f t="shared" si="115"/>
        <v>0</v>
      </c>
      <c r="C135" s="152">
        <f t="shared" si="116"/>
        <v>0</v>
      </c>
      <c r="D135" s="153"/>
      <c r="E135" s="153"/>
      <c r="F135" s="154">
        <f t="shared" si="117"/>
        <v>0</v>
      </c>
      <c r="G135" s="155"/>
      <c r="H135" s="155"/>
      <c r="I135" s="155"/>
      <c r="J135" s="155"/>
      <c r="K135" s="155"/>
      <c r="L135" s="155"/>
      <c r="M135" s="155"/>
      <c r="N135" s="156"/>
      <c r="O135" s="155"/>
      <c r="P135" s="63"/>
    </row>
    <row r="136" spans="1:16" ht="33.75" customHeight="1" x14ac:dyDescent="0.35">
      <c r="A136" s="150" t="s">
        <v>779</v>
      </c>
      <c r="B136" s="151">
        <f t="shared" si="115"/>
        <v>7965</v>
      </c>
      <c r="C136" s="152">
        <f t="shared" si="116"/>
        <v>0</v>
      </c>
      <c r="D136" s="153">
        <f t="shared" ref="D136" si="254">+D137</f>
        <v>0</v>
      </c>
      <c r="E136" s="153">
        <f t="shared" ref="E136" si="255">+E137</f>
        <v>0</v>
      </c>
      <c r="F136" s="154">
        <f t="shared" si="117"/>
        <v>7965</v>
      </c>
      <c r="G136" s="155">
        <f t="shared" ref="G136" si="256">+G137</f>
        <v>0</v>
      </c>
      <c r="H136" s="155">
        <f>7435+H137</f>
        <v>7435</v>
      </c>
      <c r="I136" s="155">
        <f>230+I137</f>
        <v>230</v>
      </c>
      <c r="J136" s="155">
        <f t="shared" si="151"/>
        <v>0</v>
      </c>
      <c r="K136" s="155">
        <f>300+K137</f>
        <v>300</v>
      </c>
      <c r="L136" s="155">
        <f t="shared" ref="L136" si="257">+L137</f>
        <v>0</v>
      </c>
      <c r="M136" s="155">
        <f t="shared" ref="M136" si="258">+M137</f>
        <v>0</v>
      </c>
      <c r="N136" s="156">
        <f>+N137</f>
        <v>0</v>
      </c>
      <c r="O136" s="153">
        <f>+O137</f>
        <v>0</v>
      </c>
      <c r="P136" s="63">
        <f t="shared" ref="P136" si="259">+P137</f>
        <v>0</v>
      </c>
    </row>
    <row r="137" spans="1:16" ht="15" customHeight="1" x14ac:dyDescent="0.35">
      <c r="A137" s="157" t="s">
        <v>724</v>
      </c>
      <c r="B137" s="151">
        <f t="shared" si="115"/>
        <v>0</v>
      </c>
      <c r="C137" s="152">
        <f t="shared" si="116"/>
        <v>0</v>
      </c>
      <c r="D137" s="153"/>
      <c r="E137" s="153"/>
      <c r="F137" s="154">
        <f t="shared" si="117"/>
        <v>0</v>
      </c>
      <c r="G137" s="155"/>
      <c r="H137" s="155"/>
      <c r="I137" s="155"/>
      <c r="J137" s="155"/>
      <c r="K137" s="155"/>
      <c r="L137" s="155"/>
      <c r="M137" s="155"/>
      <c r="N137" s="156"/>
      <c r="O137" s="155"/>
      <c r="P137" s="63"/>
    </row>
    <row r="138" spans="1:16" ht="33.75" customHeight="1" x14ac:dyDescent="0.35">
      <c r="A138" s="150" t="s">
        <v>780</v>
      </c>
      <c r="B138" s="151">
        <f t="shared" si="115"/>
        <v>440</v>
      </c>
      <c r="C138" s="152">
        <f t="shared" si="116"/>
        <v>0</v>
      </c>
      <c r="D138" s="153">
        <f t="shared" ref="D138" si="260">+D139</f>
        <v>0</v>
      </c>
      <c r="E138" s="153">
        <f t="shared" ref="E138" si="261">+E139</f>
        <v>0</v>
      </c>
      <c r="F138" s="154">
        <f t="shared" si="117"/>
        <v>440</v>
      </c>
      <c r="G138" s="155">
        <f t="shared" ref="G138" si="262">+G139</f>
        <v>0</v>
      </c>
      <c r="H138" s="155">
        <f>260+H139</f>
        <v>260</v>
      </c>
      <c r="I138" s="155">
        <f>160+I139</f>
        <v>160</v>
      </c>
      <c r="J138" s="155">
        <f t="shared" si="151"/>
        <v>0</v>
      </c>
      <c r="K138" s="155">
        <f>20+K139</f>
        <v>20</v>
      </c>
      <c r="L138" s="155">
        <f t="shared" ref="L138" si="263">+L139</f>
        <v>0</v>
      </c>
      <c r="M138" s="155">
        <f t="shared" ref="M138" si="264">+M139</f>
        <v>0</v>
      </c>
      <c r="N138" s="156">
        <f>+N139</f>
        <v>0</v>
      </c>
      <c r="O138" s="153">
        <f>+O139</f>
        <v>0</v>
      </c>
      <c r="P138" s="63">
        <f t="shared" ref="P138" si="265">+P139</f>
        <v>0</v>
      </c>
    </row>
    <row r="139" spans="1:16" ht="15" customHeight="1" x14ac:dyDescent="0.35">
      <c r="A139" s="157" t="s">
        <v>724</v>
      </c>
      <c r="B139" s="151">
        <f t="shared" si="115"/>
        <v>0</v>
      </c>
      <c r="C139" s="152">
        <f t="shared" si="116"/>
        <v>0</v>
      </c>
      <c r="D139" s="153"/>
      <c r="E139" s="153"/>
      <c r="F139" s="154">
        <f t="shared" si="117"/>
        <v>0</v>
      </c>
      <c r="G139" s="155"/>
      <c r="H139" s="155"/>
      <c r="I139" s="155"/>
      <c r="J139" s="155"/>
      <c r="K139" s="155"/>
      <c r="L139" s="155"/>
      <c r="M139" s="155"/>
      <c r="N139" s="156"/>
      <c r="O139" s="155"/>
      <c r="P139" s="63"/>
    </row>
    <row r="140" spans="1:16" ht="33.75" customHeight="1" x14ac:dyDescent="0.35">
      <c r="A140" s="150" t="s">
        <v>819</v>
      </c>
      <c r="B140" s="151">
        <f t="shared" si="115"/>
        <v>2450</v>
      </c>
      <c r="C140" s="152">
        <f t="shared" si="116"/>
        <v>0</v>
      </c>
      <c r="D140" s="153">
        <f t="shared" ref="D140" si="266">+D141</f>
        <v>0</v>
      </c>
      <c r="E140" s="153">
        <f t="shared" ref="E140" si="267">+E141</f>
        <v>0</v>
      </c>
      <c r="F140" s="154">
        <f t="shared" si="117"/>
        <v>2450</v>
      </c>
      <c r="G140" s="155">
        <f t="shared" ref="G140" si="268">+G141</f>
        <v>0</v>
      </c>
      <c r="H140" s="155">
        <f>1450+H141</f>
        <v>1450</v>
      </c>
      <c r="I140" s="155">
        <f>980+I141</f>
        <v>980</v>
      </c>
      <c r="J140" s="155">
        <f t="shared" si="151"/>
        <v>0</v>
      </c>
      <c r="K140" s="155">
        <f>20+K141</f>
        <v>20</v>
      </c>
      <c r="L140" s="155">
        <f t="shared" ref="L140" si="269">+L141</f>
        <v>0</v>
      </c>
      <c r="M140" s="155">
        <f t="shared" ref="M140" si="270">+M141</f>
        <v>0</v>
      </c>
      <c r="N140" s="156">
        <f>+N141</f>
        <v>0</v>
      </c>
      <c r="O140" s="153">
        <f>+O141</f>
        <v>0</v>
      </c>
      <c r="P140" s="63">
        <f t="shared" ref="P140" si="271">+P141</f>
        <v>0</v>
      </c>
    </row>
    <row r="141" spans="1:16" ht="15" customHeight="1" x14ac:dyDescent="0.35">
      <c r="A141" s="157" t="s">
        <v>724</v>
      </c>
      <c r="B141" s="151">
        <f t="shared" si="115"/>
        <v>0</v>
      </c>
      <c r="C141" s="152">
        <f t="shared" si="116"/>
        <v>0</v>
      </c>
      <c r="D141" s="153"/>
      <c r="E141" s="153"/>
      <c r="F141" s="154">
        <f t="shared" si="117"/>
        <v>0</v>
      </c>
      <c r="G141" s="155"/>
      <c r="H141" s="155"/>
      <c r="I141" s="155"/>
      <c r="J141" s="155"/>
      <c r="K141" s="155"/>
      <c r="L141" s="155"/>
      <c r="M141" s="155"/>
      <c r="N141" s="156"/>
      <c r="O141" s="155"/>
      <c r="P141" s="63"/>
    </row>
    <row r="142" spans="1:16" ht="37.950000000000003" customHeight="1" x14ac:dyDescent="0.35">
      <c r="A142" s="150" t="s">
        <v>820</v>
      </c>
      <c r="B142" s="151">
        <f t="shared" si="115"/>
        <v>31288</v>
      </c>
      <c r="C142" s="152">
        <f t="shared" si="116"/>
        <v>11628</v>
      </c>
      <c r="D142" s="153">
        <f>9408+D143</f>
        <v>9408</v>
      </c>
      <c r="E142" s="153">
        <f>2220+E143</f>
        <v>2220</v>
      </c>
      <c r="F142" s="154">
        <f t="shared" si="117"/>
        <v>19660</v>
      </c>
      <c r="G142" s="155">
        <f t="shared" ref="G142" si="272">+G143</f>
        <v>0</v>
      </c>
      <c r="H142" s="155">
        <f>16040+H143</f>
        <v>16040</v>
      </c>
      <c r="I142" s="155">
        <f>3320+I143</f>
        <v>3320</v>
      </c>
      <c r="J142" s="155">
        <f t="shared" si="151"/>
        <v>0</v>
      </c>
      <c r="K142" s="155">
        <f>300+K143</f>
        <v>300</v>
      </c>
      <c r="L142" s="155">
        <f t="shared" ref="L142" si="273">+L143</f>
        <v>0</v>
      </c>
      <c r="M142" s="155">
        <f t="shared" ref="M142" si="274">+M143</f>
        <v>0</v>
      </c>
      <c r="N142" s="156">
        <f>+N143</f>
        <v>0</v>
      </c>
      <c r="O142" s="153">
        <f>+O143</f>
        <v>0</v>
      </c>
      <c r="P142" s="63">
        <f t="shared" ref="P142" si="275">+P143</f>
        <v>0</v>
      </c>
    </row>
    <row r="143" spans="1:16" ht="15" customHeight="1" x14ac:dyDescent="0.35">
      <c r="A143" s="157" t="s">
        <v>724</v>
      </c>
      <c r="B143" s="151">
        <f t="shared" si="115"/>
        <v>0</v>
      </c>
      <c r="C143" s="152">
        <f t="shared" si="116"/>
        <v>0</v>
      </c>
      <c r="D143" s="153"/>
      <c r="E143" s="153"/>
      <c r="F143" s="154">
        <f t="shared" si="117"/>
        <v>0</v>
      </c>
      <c r="G143" s="155"/>
      <c r="H143" s="155"/>
      <c r="I143" s="155"/>
      <c r="J143" s="155"/>
      <c r="K143" s="155"/>
      <c r="L143" s="155"/>
      <c r="M143" s="155"/>
      <c r="N143" s="156"/>
      <c r="O143" s="155"/>
      <c r="P143" s="63"/>
    </row>
    <row r="144" spans="1:16" ht="30" customHeight="1" x14ac:dyDescent="0.35">
      <c r="A144" s="150" t="s">
        <v>821</v>
      </c>
      <c r="B144" s="151">
        <f t="shared" si="115"/>
        <v>4365</v>
      </c>
      <c r="C144" s="152">
        <f t="shared" si="116"/>
        <v>0</v>
      </c>
      <c r="D144" s="153">
        <f>+D145</f>
        <v>0</v>
      </c>
      <c r="E144" s="153">
        <f>+E145</f>
        <v>0</v>
      </c>
      <c r="F144" s="154">
        <f t="shared" si="117"/>
        <v>4365</v>
      </c>
      <c r="G144" s="155">
        <f t="shared" ref="G144" si="276">+G145</f>
        <v>0</v>
      </c>
      <c r="H144" s="155">
        <f>4305+H145</f>
        <v>4305</v>
      </c>
      <c r="I144" s="155">
        <f>+I145</f>
        <v>0</v>
      </c>
      <c r="J144" s="155">
        <f t="shared" si="151"/>
        <v>0</v>
      </c>
      <c r="K144" s="155">
        <f>60+K145</f>
        <v>60</v>
      </c>
      <c r="L144" s="155">
        <f t="shared" ref="L144" si="277">+L145</f>
        <v>0</v>
      </c>
      <c r="M144" s="155">
        <f t="shared" ref="M144" si="278">+M145</f>
        <v>0</v>
      </c>
      <c r="N144" s="156">
        <f>+N145</f>
        <v>0</v>
      </c>
      <c r="O144" s="153">
        <f>+O145</f>
        <v>0</v>
      </c>
      <c r="P144" s="63">
        <f t="shared" ref="P144" si="279">+P145</f>
        <v>0</v>
      </c>
    </row>
    <row r="145" spans="1:16" ht="15" customHeight="1" x14ac:dyDescent="0.35">
      <c r="A145" s="157" t="s">
        <v>724</v>
      </c>
      <c r="B145" s="151">
        <f t="shared" si="115"/>
        <v>0</v>
      </c>
      <c r="C145" s="152">
        <f t="shared" si="116"/>
        <v>0</v>
      </c>
      <c r="D145" s="153"/>
      <c r="E145" s="153"/>
      <c r="F145" s="154">
        <f t="shared" si="117"/>
        <v>0</v>
      </c>
      <c r="G145" s="155"/>
      <c r="H145" s="155"/>
      <c r="I145" s="155"/>
      <c r="J145" s="155"/>
      <c r="K145" s="155"/>
      <c r="L145" s="155"/>
      <c r="M145" s="155"/>
      <c r="N145" s="156"/>
      <c r="O145" s="155"/>
      <c r="P145" s="63"/>
    </row>
    <row r="146" spans="1:16" ht="30" customHeight="1" x14ac:dyDescent="0.35">
      <c r="A146" s="150" t="s">
        <v>822</v>
      </c>
      <c r="B146" s="151">
        <f t="shared" si="115"/>
        <v>7740</v>
      </c>
      <c r="C146" s="152">
        <f t="shared" si="116"/>
        <v>0</v>
      </c>
      <c r="D146" s="153">
        <f t="shared" ref="D146" si="280">+D147</f>
        <v>0</v>
      </c>
      <c r="E146" s="153">
        <f t="shared" ref="E146" si="281">+E147</f>
        <v>0</v>
      </c>
      <c r="F146" s="154">
        <f t="shared" si="117"/>
        <v>7740</v>
      </c>
      <c r="G146" s="155">
        <f t="shared" ref="G146" si="282">+G147</f>
        <v>0</v>
      </c>
      <c r="H146" s="155">
        <f>5839+H147</f>
        <v>5839</v>
      </c>
      <c r="I146" s="155">
        <f>1831+I147</f>
        <v>1831</v>
      </c>
      <c r="J146" s="155">
        <f t="shared" si="151"/>
        <v>0</v>
      </c>
      <c r="K146" s="155">
        <f>70+K147</f>
        <v>70</v>
      </c>
      <c r="L146" s="155">
        <f t="shared" ref="L146" si="283">+L147</f>
        <v>0</v>
      </c>
      <c r="M146" s="155">
        <f t="shared" ref="M146" si="284">+M147</f>
        <v>0</v>
      </c>
      <c r="N146" s="156">
        <f>+N147</f>
        <v>0</v>
      </c>
      <c r="O146" s="153">
        <f>+O147</f>
        <v>0</v>
      </c>
      <c r="P146" s="63">
        <f t="shared" ref="P146" si="285">+P147</f>
        <v>0</v>
      </c>
    </row>
    <row r="147" spans="1:16" ht="15" customHeight="1" x14ac:dyDescent="0.35">
      <c r="A147" s="157" t="s">
        <v>724</v>
      </c>
      <c r="B147" s="151">
        <f t="shared" ref="B147:B210" si="286">SUM(C147+F147,L147,M147,N147,O147,P147)</f>
        <v>0</v>
      </c>
      <c r="C147" s="152">
        <f t="shared" ref="C147:C210" si="287">D147+E147</f>
        <v>0</v>
      </c>
      <c r="D147" s="153"/>
      <c r="E147" s="153"/>
      <c r="F147" s="154">
        <f t="shared" ref="F147:F210" si="288">SUM(G147,H147,I147,J147,K147)</f>
        <v>0</v>
      </c>
      <c r="G147" s="155"/>
      <c r="H147" s="155"/>
      <c r="I147" s="155"/>
      <c r="J147" s="155"/>
      <c r="K147" s="155"/>
      <c r="L147" s="155"/>
      <c r="M147" s="155"/>
      <c r="N147" s="156"/>
      <c r="O147" s="155"/>
      <c r="P147" s="63"/>
    </row>
    <row r="148" spans="1:16" ht="40.950000000000003" customHeight="1" x14ac:dyDescent="0.35">
      <c r="A148" s="150" t="s">
        <v>805</v>
      </c>
      <c r="B148" s="151">
        <f t="shared" si="286"/>
        <v>5232</v>
      </c>
      <c r="C148" s="152">
        <f t="shared" si="287"/>
        <v>0</v>
      </c>
      <c r="D148" s="153">
        <f t="shared" ref="D148" si="289">+D149</f>
        <v>0</v>
      </c>
      <c r="E148" s="153">
        <f t="shared" ref="E148" si="290">+E149</f>
        <v>0</v>
      </c>
      <c r="F148" s="154">
        <f t="shared" si="288"/>
        <v>5232</v>
      </c>
      <c r="G148" s="155">
        <f t="shared" ref="G148" si="291">+G149</f>
        <v>0</v>
      </c>
      <c r="H148" s="155">
        <f>5232+H149</f>
        <v>5232</v>
      </c>
      <c r="I148" s="155">
        <f>+I149</f>
        <v>0</v>
      </c>
      <c r="J148" s="155">
        <f t="shared" si="151"/>
        <v>0</v>
      </c>
      <c r="K148" s="155">
        <f>+K149</f>
        <v>0</v>
      </c>
      <c r="L148" s="155">
        <f t="shared" ref="L148" si="292">+L149</f>
        <v>0</v>
      </c>
      <c r="M148" s="155">
        <f t="shared" ref="M148" si="293">+M149</f>
        <v>0</v>
      </c>
      <c r="N148" s="156">
        <f>+N149</f>
        <v>0</v>
      </c>
      <c r="O148" s="153">
        <f>+O149</f>
        <v>0</v>
      </c>
      <c r="P148" s="63">
        <f t="shared" ref="P148" si="294">+P149</f>
        <v>0</v>
      </c>
    </row>
    <row r="149" spans="1:16" ht="15" customHeight="1" x14ac:dyDescent="0.35">
      <c r="A149" s="157" t="s">
        <v>724</v>
      </c>
      <c r="B149" s="151">
        <f t="shared" si="286"/>
        <v>0</v>
      </c>
      <c r="C149" s="152">
        <f t="shared" si="287"/>
        <v>0</v>
      </c>
      <c r="D149" s="153"/>
      <c r="E149" s="153"/>
      <c r="F149" s="154">
        <f t="shared" si="288"/>
        <v>0</v>
      </c>
      <c r="G149" s="155"/>
      <c r="H149" s="155"/>
      <c r="I149" s="155"/>
      <c r="J149" s="155"/>
      <c r="K149" s="155"/>
      <c r="L149" s="155"/>
      <c r="M149" s="155"/>
      <c r="N149" s="156"/>
      <c r="O149" s="155"/>
      <c r="P149" s="63"/>
    </row>
    <row r="150" spans="1:16" ht="18" customHeight="1" x14ac:dyDescent="0.35">
      <c r="A150" s="150" t="s">
        <v>8</v>
      </c>
      <c r="B150" s="151">
        <f t="shared" si="286"/>
        <v>103880</v>
      </c>
      <c r="C150" s="152">
        <f t="shared" si="287"/>
        <v>0</v>
      </c>
      <c r="D150" s="153">
        <f t="shared" ref="D150" si="295">+D151</f>
        <v>0</v>
      </c>
      <c r="E150" s="153">
        <f t="shared" ref="E150" si="296">+E151</f>
        <v>0</v>
      </c>
      <c r="F150" s="154">
        <f t="shared" si="288"/>
        <v>103880</v>
      </c>
      <c r="G150" s="155">
        <f t="shared" ref="G150" si="297">+G151</f>
        <v>0</v>
      </c>
      <c r="H150" s="155">
        <f>103880+H151</f>
        <v>103880</v>
      </c>
      <c r="I150" s="155">
        <f t="shared" ref="I150" si="298">+I151</f>
        <v>0</v>
      </c>
      <c r="J150" s="155">
        <f t="shared" si="151"/>
        <v>0</v>
      </c>
      <c r="K150" s="155">
        <f t="shared" ref="K150" si="299">+K151</f>
        <v>0</v>
      </c>
      <c r="L150" s="155">
        <f t="shared" ref="L150" si="300">+L151</f>
        <v>0</v>
      </c>
      <c r="M150" s="155">
        <f t="shared" ref="M150" si="301">+M151</f>
        <v>0</v>
      </c>
      <c r="N150" s="156">
        <f>+N151</f>
        <v>0</v>
      </c>
      <c r="O150" s="153">
        <f>+O151</f>
        <v>0</v>
      </c>
      <c r="P150" s="63">
        <f t="shared" ref="P150" si="302">+P151</f>
        <v>0</v>
      </c>
    </row>
    <row r="151" spans="1:16" ht="15" customHeight="1" x14ac:dyDescent="0.35">
      <c r="A151" s="157" t="s">
        <v>724</v>
      </c>
      <c r="B151" s="151">
        <f t="shared" si="286"/>
        <v>0</v>
      </c>
      <c r="C151" s="152">
        <f t="shared" si="287"/>
        <v>0</v>
      </c>
      <c r="D151" s="153"/>
      <c r="E151" s="153"/>
      <c r="F151" s="154">
        <f t="shared" si="288"/>
        <v>0</v>
      </c>
      <c r="G151" s="155"/>
      <c r="H151" s="155"/>
      <c r="I151" s="155"/>
      <c r="J151" s="155"/>
      <c r="K151" s="155"/>
      <c r="L151" s="155"/>
      <c r="M151" s="155"/>
      <c r="N151" s="156"/>
      <c r="O151" s="155"/>
      <c r="P151" s="63"/>
    </row>
    <row r="152" spans="1:16" ht="18" customHeight="1" x14ac:dyDescent="0.35">
      <c r="A152" s="158" t="s">
        <v>566</v>
      </c>
      <c r="B152" s="151">
        <f t="shared" si="286"/>
        <v>15599</v>
      </c>
      <c r="C152" s="152">
        <f t="shared" si="287"/>
        <v>0</v>
      </c>
      <c r="D152" s="153">
        <f t="shared" ref="D152" si="303">+D153</f>
        <v>0</v>
      </c>
      <c r="E152" s="153">
        <f t="shared" ref="E152" si="304">+E153</f>
        <v>0</v>
      </c>
      <c r="F152" s="154">
        <f t="shared" si="288"/>
        <v>15599</v>
      </c>
      <c r="G152" s="155">
        <f t="shared" ref="G152" si="305">+G153</f>
        <v>0</v>
      </c>
      <c r="H152" s="155">
        <f>15599+H153</f>
        <v>15599</v>
      </c>
      <c r="I152" s="155">
        <f t="shared" ref="I152" si="306">+I153</f>
        <v>0</v>
      </c>
      <c r="J152" s="155">
        <f t="shared" si="151"/>
        <v>0</v>
      </c>
      <c r="K152" s="155">
        <f t="shared" ref="K152" si="307">+K153</f>
        <v>0</v>
      </c>
      <c r="L152" s="155">
        <f t="shared" ref="L152" si="308">+L153</f>
        <v>0</v>
      </c>
      <c r="M152" s="155">
        <f t="shared" ref="M152" si="309">+M153</f>
        <v>0</v>
      </c>
      <c r="N152" s="156">
        <f>+N153</f>
        <v>0</v>
      </c>
      <c r="O152" s="153">
        <f>+O153</f>
        <v>0</v>
      </c>
      <c r="P152" s="63">
        <f t="shared" ref="P152" si="310">+P153</f>
        <v>0</v>
      </c>
    </row>
    <row r="153" spans="1:16" ht="15" customHeight="1" x14ac:dyDescent="0.35">
      <c r="A153" s="157" t="s">
        <v>724</v>
      </c>
      <c r="B153" s="151">
        <f t="shared" si="286"/>
        <v>0</v>
      </c>
      <c r="C153" s="152">
        <f t="shared" si="287"/>
        <v>0</v>
      </c>
      <c r="D153" s="153"/>
      <c r="E153" s="153"/>
      <c r="F153" s="154">
        <f t="shared" si="288"/>
        <v>0</v>
      </c>
      <c r="G153" s="155"/>
      <c r="H153" s="155"/>
      <c r="I153" s="155"/>
      <c r="J153" s="155"/>
      <c r="K153" s="155"/>
      <c r="L153" s="155"/>
      <c r="M153" s="155"/>
      <c r="N153" s="156"/>
      <c r="O153" s="155"/>
      <c r="P153" s="63"/>
    </row>
    <row r="154" spans="1:16" ht="20.399999999999999" customHeight="1" x14ac:dyDescent="0.35">
      <c r="A154" s="150" t="s">
        <v>113</v>
      </c>
      <c r="B154" s="151">
        <f t="shared" si="286"/>
        <v>161657</v>
      </c>
      <c r="C154" s="152">
        <f t="shared" si="287"/>
        <v>0</v>
      </c>
      <c r="D154" s="153">
        <f t="shared" ref="D154" si="311">+D155</f>
        <v>0</v>
      </c>
      <c r="E154" s="153">
        <f t="shared" ref="E154" si="312">+E155</f>
        <v>0</v>
      </c>
      <c r="F154" s="154">
        <f t="shared" si="288"/>
        <v>161657</v>
      </c>
      <c r="G154" s="155">
        <f t="shared" ref="G154" si="313">+G155</f>
        <v>0</v>
      </c>
      <c r="H154" s="155">
        <f>159657+H155</f>
        <v>159657</v>
      </c>
      <c r="I154" s="155">
        <f t="shared" ref="I154" si="314">+I155</f>
        <v>0</v>
      </c>
      <c r="J154" s="155">
        <f t="shared" si="151"/>
        <v>0</v>
      </c>
      <c r="K154" s="155">
        <f>2000+K155</f>
        <v>2000</v>
      </c>
      <c r="L154" s="155">
        <f t="shared" ref="L154" si="315">+L155</f>
        <v>0</v>
      </c>
      <c r="M154" s="155">
        <f t="shared" ref="M154" si="316">+M155</f>
        <v>0</v>
      </c>
      <c r="N154" s="156">
        <f>+N155</f>
        <v>0</v>
      </c>
      <c r="O154" s="153">
        <f>+O155</f>
        <v>0</v>
      </c>
      <c r="P154" s="63">
        <f t="shared" ref="P154" si="317">+P155</f>
        <v>0</v>
      </c>
    </row>
    <row r="155" spans="1:16" ht="15" customHeight="1" x14ac:dyDescent="0.35">
      <c r="A155" s="157" t="s">
        <v>724</v>
      </c>
      <c r="B155" s="151">
        <f t="shared" si="286"/>
        <v>0</v>
      </c>
      <c r="C155" s="152">
        <f t="shared" si="287"/>
        <v>0</v>
      </c>
      <c r="D155" s="153"/>
      <c r="E155" s="153"/>
      <c r="F155" s="154">
        <f t="shared" si="288"/>
        <v>0</v>
      </c>
      <c r="G155" s="155"/>
      <c r="H155" s="155"/>
      <c r="I155" s="155"/>
      <c r="J155" s="155"/>
      <c r="K155" s="155"/>
      <c r="L155" s="155"/>
      <c r="M155" s="155"/>
      <c r="N155" s="156"/>
      <c r="O155" s="155"/>
      <c r="P155" s="63"/>
    </row>
    <row r="156" spans="1:16" ht="21" customHeight="1" x14ac:dyDescent="0.35">
      <c r="A156" s="150" t="s">
        <v>117</v>
      </c>
      <c r="B156" s="151">
        <f t="shared" si="286"/>
        <v>139373</v>
      </c>
      <c r="C156" s="152">
        <f t="shared" si="287"/>
        <v>0</v>
      </c>
      <c r="D156" s="153">
        <f t="shared" ref="D156" si="318">+D157</f>
        <v>0</v>
      </c>
      <c r="E156" s="153">
        <f t="shared" ref="E156" si="319">+E157</f>
        <v>0</v>
      </c>
      <c r="F156" s="154">
        <f t="shared" si="288"/>
        <v>27549</v>
      </c>
      <c r="G156" s="155">
        <f t="shared" ref="G156" si="320">+G157</f>
        <v>0</v>
      </c>
      <c r="H156" s="155">
        <f>27549+H157</f>
        <v>27549</v>
      </c>
      <c r="I156" s="155">
        <f t="shared" ref="I156" si="321">+I157</f>
        <v>0</v>
      </c>
      <c r="J156" s="155">
        <f t="shared" si="151"/>
        <v>0</v>
      </c>
      <c r="K156" s="155">
        <f>+K157</f>
        <v>0</v>
      </c>
      <c r="L156" s="155">
        <f t="shared" ref="L156" si="322">+L157</f>
        <v>0</v>
      </c>
      <c r="M156" s="155">
        <f t="shared" ref="M156" si="323">+M157</f>
        <v>0</v>
      </c>
      <c r="N156" s="156">
        <f>80824+N157</f>
        <v>80824</v>
      </c>
      <c r="O156" s="155">
        <f>31000+O157</f>
        <v>31000</v>
      </c>
      <c r="P156" s="63">
        <f>+P157</f>
        <v>0</v>
      </c>
    </row>
    <row r="157" spans="1:16" ht="15" customHeight="1" x14ac:dyDescent="0.35">
      <c r="A157" s="157" t="s">
        <v>724</v>
      </c>
      <c r="B157" s="151">
        <f t="shared" si="286"/>
        <v>0</v>
      </c>
      <c r="C157" s="152">
        <f t="shared" si="287"/>
        <v>0</v>
      </c>
      <c r="D157" s="153"/>
      <c r="E157" s="153"/>
      <c r="F157" s="154">
        <f t="shared" si="288"/>
        <v>0</v>
      </c>
      <c r="G157" s="155"/>
      <c r="H157" s="155"/>
      <c r="I157" s="155"/>
      <c r="J157" s="155"/>
      <c r="K157" s="155"/>
      <c r="L157" s="155"/>
      <c r="M157" s="155"/>
      <c r="N157" s="156"/>
      <c r="O157" s="155"/>
      <c r="P157" s="63"/>
    </row>
    <row r="158" spans="1:16" ht="30" customHeight="1" x14ac:dyDescent="0.35">
      <c r="A158" s="150" t="s">
        <v>9</v>
      </c>
      <c r="B158" s="151">
        <f t="shared" si="286"/>
        <v>46270</v>
      </c>
      <c r="C158" s="152">
        <f t="shared" si="287"/>
        <v>37359</v>
      </c>
      <c r="D158" s="153">
        <f>30228+D159</f>
        <v>30228</v>
      </c>
      <c r="E158" s="153">
        <f>7131+E159</f>
        <v>7131</v>
      </c>
      <c r="F158" s="154">
        <f t="shared" si="288"/>
        <v>8911</v>
      </c>
      <c r="G158" s="155">
        <f t="shared" ref="G158" si="324">+G159</f>
        <v>0</v>
      </c>
      <c r="H158" s="155">
        <f>3581+H159</f>
        <v>3581</v>
      </c>
      <c r="I158" s="155">
        <f>5330+I159</f>
        <v>5330</v>
      </c>
      <c r="J158" s="155">
        <f t="shared" si="151"/>
        <v>0</v>
      </c>
      <c r="K158" s="155">
        <f>+K159</f>
        <v>0</v>
      </c>
      <c r="L158" s="155">
        <f t="shared" ref="L158" si="325">+L159</f>
        <v>0</v>
      </c>
      <c r="M158" s="155">
        <f t="shared" ref="M158" si="326">+M159</f>
        <v>0</v>
      </c>
      <c r="N158" s="156">
        <f>+N159</f>
        <v>0</v>
      </c>
      <c r="O158" s="153">
        <f>+O159</f>
        <v>0</v>
      </c>
      <c r="P158" s="63">
        <f t="shared" ref="P158" si="327">+P159</f>
        <v>0</v>
      </c>
    </row>
    <row r="159" spans="1:16" ht="15" customHeight="1" x14ac:dyDescent="0.35">
      <c r="A159" s="157" t="s">
        <v>724</v>
      </c>
      <c r="B159" s="151">
        <f t="shared" si="286"/>
        <v>0</v>
      </c>
      <c r="C159" s="152">
        <f t="shared" si="287"/>
        <v>0</v>
      </c>
      <c r="D159" s="153"/>
      <c r="E159" s="153"/>
      <c r="F159" s="154">
        <f t="shared" si="288"/>
        <v>0</v>
      </c>
      <c r="G159" s="155"/>
      <c r="H159" s="155"/>
      <c r="I159" s="155"/>
      <c r="J159" s="155"/>
      <c r="K159" s="155"/>
      <c r="L159" s="155"/>
      <c r="M159" s="155"/>
      <c r="N159" s="156"/>
      <c r="O159" s="155"/>
      <c r="P159" s="63"/>
    </row>
    <row r="160" spans="1:16" ht="30" customHeight="1" x14ac:dyDescent="0.35">
      <c r="A160" s="150" t="s">
        <v>570</v>
      </c>
      <c r="B160" s="151">
        <f t="shared" si="286"/>
        <v>182084</v>
      </c>
      <c r="C160" s="152">
        <f t="shared" si="287"/>
        <v>134379</v>
      </c>
      <c r="D160" s="153">
        <f>108729+D161</f>
        <v>108729</v>
      </c>
      <c r="E160" s="153">
        <f>25650+E161</f>
        <v>25650</v>
      </c>
      <c r="F160" s="154">
        <f t="shared" si="288"/>
        <v>47705</v>
      </c>
      <c r="G160" s="155">
        <f t="shared" ref="G160" si="328">+G161</f>
        <v>0</v>
      </c>
      <c r="H160" s="155">
        <f>22176+H161</f>
        <v>22176</v>
      </c>
      <c r="I160" s="155">
        <f>25169+I161</f>
        <v>25169</v>
      </c>
      <c r="J160" s="155">
        <f t="shared" si="151"/>
        <v>0</v>
      </c>
      <c r="K160" s="155">
        <f>360+K161</f>
        <v>360</v>
      </c>
      <c r="L160" s="155">
        <f t="shared" ref="L160" si="329">+L161</f>
        <v>0</v>
      </c>
      <c r="M160" s="155">
        <f t="shared" ref="M160" si="330">+M161</f>
        <v>0</v>
      </c>
      <c r="N160" s="156">
        <f>+N161</f>
        <v>0</v>
      </c>
      <c r="O160" s="153">
        <f>+O161</f>
        <v>0</v>
      </c>
      <c r="P160" s="63">
        <f>+P161</f>
        <v>0</v>
      </c>
    </row>
    <row r="161" spans="1:16" ht="15" customHeight="1" x14ac:dyDescent="0.35">
      <c r="A161" s="157" t="s">
        <v>724</v>
      </c>
      <c r="B161" s="151">
        <f t="shared" si="286"/>
        <v>0</v>
      </c>
      <c r="C161" s="152">
        <f t="shared" si="287"/>
        <v>0</v>
      </c>
      <c r="D161" s="153"/>
      <c r="E161" s="153"/>
      <c r="F161" s="154">
        <f t="shared" si="288"/>
        <v>0</v>
      </c>
      <c r="G161" s="155"/>
      <c r="H161" s="155"/>
      <c r="I161" s="155"/>
      <c r="J161" s="155"/>
      <c r="K161" s="155"/>
      <c r="L161" s="155"/>
      <c r="M161" s="155"/>
      <c r="N161" s="156"/>
      <c r="O161" s="155"/>
      <c r="P161" s="63"/>
    </row>
    <row r="162" spans="1:16" ht="30" customHeight="1" x14ac:dyDescent="0.35">
      <c r="A162" s="150" t="s">
        <v>183</v>
      </c>
      <c r="B162" s="151">
        <f t="shared" si="286"/>
        <v>100134</v>
      </c>
      <c r="C162" s="152">
        <f t="shared" si="287"/>
        <v>69706</v>
      </c>
      <c r="D162" s="153">
        <f>56401+D163</f>
        <v>56401</v>
      </c>
      <c r="E162" s="153">
        <f>13305+E163</f>
        <v>13305</v>
      </c>
      <c r="F162" s="154">
        <f t="shared" si="288"/>
        <v>30428</v>
      </c>
      <c r="G162" s="155">
        <f t="shared" ref="G162" si="331">+G163</f>
        <v>0</v>
      </c>
      <c r="H162" s="155">
        <f>7808+H163</f>
        <v>7808</v>
      </c>
      <c r="I162" s="155">
        <f>22160+I163</f>
        <v>22160</v>
      </c>
      <c r="J162" s="155">
        <f t="shared" si="151"/>
        <v>0</v>
      </c>
      <c r="K162" s="155">
        <f>460+K163</f>
        <v>460</v>
      </c>
      <c r="L162" s="155">
        <f t="shared" ref="L162" si="332">+L163</f>
        <v>0</v>
      </c>
      <c r="M162" s="155">
        <f t="shared" ref="M162" si="333">+M163</f>
        <v>0</v>
      </c>
      <c r="N162" s="156">
        <f>+N163</f>
        <v>0</v>
      </c>
      <c r="O162" s="153">
        <f>+O163</f>
        <v>0</v>
      </c>
      <c r="P162" s="63">
        <f>+P163</f>
        <v>0</v>
      </c>
    </row>
    <row r="163" spans="1:16" ht="15" customHeight="1" x14ac:dyDescent="0.35">
      <c r="A163" s="157" t="s">
        <v>724</v>
      </c>
      <c r="B163" s="151">
        <f t="shared" si="286"/>
        <v>0</v>
      </c>
      <c r="C163" s="152">
        <f t="shared" si="287"/>
        <v>0</v>
      </c>
      <c r="D163" s="153"/>
      <c r="E163" s="153"/>
      <c r="F163" s="154">
        <f t="shared" si="288"/>
        <v>0</v>
      </c>
      <c r="G163" s="155"/>
      <c r="H163" s="155"/>
      <c r="I163" s="155"/>
      <c r="J163" s="155"/>
      <c r="K163" s="155"/>
      <c r="L163" s="155"/>
      <c r="M163" s="155"/>
      <c r="N163" s="156"/>
      <c r="O163" s="155"/>
      <c r="P163" s="63"/>
    </row>
    <row r="164" spans="1:16" ht="25.95" customHeight="1" x14ac:dyDescent="0.35">
      <c r="A164" s="150" t="s">
        <v>10</v>
      </c>
      <c r="B164" s="151">
        <f t="shared" si="286"/>
        <v>56817</v>
      </c>
      <c r="C164" s="152">
        <f t="shared" si="287"/>
        <v>42004</v>
      </c>
      <c r="D164" s="153">
        <f>33986+D165</f>
        <v>33986</v>
      </c>
      <c r="E164" s="153">
        <f>8018+E165</f>
        <v>8018</v>
      </c>
      <c r="F164" s="154">
        <f t="shared" si="288"/>
        <v>14813</v>
      </c>
      <c r="G164" s="155">
        <f t="shared" ref="G164" si="334">+G165</f>
        <v>0</v>
      </c>
      <c r="H164" s="155">
        <f>8323+H165</f>
        <v>8323</v>
      </c>
      <c r="I164" s="155">
        <f>6170+I165</f>
        <v>6170</v>
      </c>
      <c r="J164" s="155">
        <f t="shared" ref="J164:J226" si="335">+J165</f>
        <v>0</v>
      </c>
      <c r="K164" s="155">
        <f>320+K165</f>
        <v>320</v>
      </c>
      <c r="L164" s="155">
        <f t="shared" ref="L164" si="336">+L165</f>
        <v>0</v>
      </c>
      <c r="M164" s="155">
        <f t="shared" ref="M164" si="337">+M165</f>
        <v>0</v>
      </c>
      <c r="N164" s="156">
        <f>+N165</f>
        <v>0</v>
      </c>
      <c r="O164" s="153">
        <f>+O165</f>
        <v>0</v>
      </c>
      <c r="P164" s="63">
        <f>+P165</f>
        <v>0</v>
      </c>
    </row>
    <row r="165" spans="1:16" ht="15" customHeight="1" x14ac:dyDescent="0.35">
      <c r="A165" s="157" t="s">
        <v>724</v>
      </c>
      <c r="B165" s="151">
        <f t="shared" si="286"/>
        <v>0</v>
      </c>
      <c r="C165" s="152">
        <f t="shared" si="287"/>
        <v>0</v>
      </c>
      <c r="D165" s="153"/>
      <c r="E165" s="153"/>
      <c r="F165" s="154">
        <f t="shared" si="288"/>
        <v>0</v>
      </c>
      <c r="G165" s="155"/>
      <c r="H165" s="155"/>
      <c r="I165" s="155"/>
      <c r="J165" s="155"/>
      <c r="K165" s="155"/>
      <c r="L165" s="155"/>
      <c r="M165" s="155"/>
      <c r="N165" s="156"/>
      <c r="O165" s="155"/>
      <c r="P165" s="63"/>
    </row>
    <row r="166" spans="1:16" s="109" customFormat="1" ht="30" customHeight="1" x14ac:dyDescent="0.35">
      <c r="A166" s="150" t="s">
        <v>11</v>
      </c>
      <c r="B166" s="151">
        <f t="shared" si="286"/>
        <v>61497</v>
      </c>
      <c r="C166" s="152">
        <f t="shared" si="287"/>
        <v>44973</v>
      </c>
      <c r="D166" s="153">
        <f>35451+D167</f>
        <v>35451</v>
      </c>
      <c r="E166" s="153">
        <f>9522+E167</f>
        <v>9522</v>
      </c>
      <c r="F166" s="154">
        <f t="shared" si="288"/>
        <v>16524</v>
      </c>
      <c r="G166" s="155">
        <f t="shared" ref="G166" si="338">+G167</f>
        <v>0</v>
      </c>
      <c r="H166" s="155">
        <f>6344+H167</f>
        <v>8013</v>
      </c>
      <c r="I166" s="155">
        <f>8361+I167</f>
        <v>8361</v>
      </c>
      <c r="J166" s="155">
        <f t="shared" si="335"/>
        <v>0</v>
      </c>
      <c r="K166" s="155">
        <f>150+K167</f>
        <v>150</v>
      </c>
      <c r="L166" s="155">
        <f t="shared" ref="L166" si="339">+L167</f>
        <v>0</v>
      </c>
      <c r="M166" s="155">
        <f t="shared" ref="M166" si="340">+M167</f>
        <v>0</v>
      </c>
      <c r="N166" s="156">
        <f>+N167</f>
        <v>0</v>
      </c>
      <c r="O166" s="153">
        <f>+O167</f>
        <v>0</v>
      </c>
      <c r="P166" s="63">
        <f>+P167</f>
        <v>0</v>
      </c>
    </row>
    <row r="167" spans="1:16" s="109" customFormat="1" ht="15" customHeight="1" x14ac:dyDescent="0.35">
      <c r="A167" s="157" t="s">
        <v>724</v>
      </c>
      <c r="B167" s="151">
        <f t="shared" si="286"/>
        <v>1669</v>
      </c>
      <c r="C167" s="152">
        <f t="shared" si="287"/>
        <v>0</v>
      </c>
      <c r="D167" s="153"/>
      <c r="E167" s="153"/>
      <c r="F167" s="154">
        <f t="shared" si="288"/>
        <v>1669</v>
      </c>
      <c r="G167" s="155"/>
      <c r="H167" s="155">
        <v>1669</v>
      </c>
      <c r="I167" s="155"/>
      <c r="J167" s="155"/>
      <c r="K167" s="155"/>
      <c r="L167" s="155"/>
      <c r="M167" s="155"/>
      <c r="N167" s="156"/>
      <c r="O167" s="155"/>
      <c r="P167" s="143"/>
    </row>
    <row r="168" spans="1:16" ht="30" customHeight="1" x14ac:dyDescent="0.35">
      <c r="A168" s="150" t="s">
        <v>12</v>
      </c>
      <c r="B168" s="151">
        <f t="shared" si="286"/>
        <v>40774</v>
      </c>
      <c r="C168" s="152">
        <f t="shared" si="287"/>
        <v>24628</v>
      </c>
      <c r="D168" s="153">
        <f>20580+D169</f>
        <v>20580</v>
      </c>
      <c r="E168" s="153">
        <f>4048+E169</f>
        <v>4048</v>
      </c>
      <c r="F168" s="154">
        <f t="shared" si="288"/>
        <v>15146</v>
      </c>
      <c r="G168" s="155">
        <f t="shared" ref="G168" si="341">+G169</f>
        <v>0</v>
      </c>
      <c r="H168" s="155">
        <f>10330+H169</f>
        <v>10330</v>
      </c>
      <c r="I168" s="155">
        <f>4516+I169</f>
        <v>4516</v>
      </c>
      <c r="J168" s="155">
        <f t="shared" si="335"/>
        <v>0</v>
      </c>
      <c r="K168" s="155">
        <f>300+K169</f>
        <v>300</v>
      </c>
      <c r="L168" s="155">
        <f t="shared" ref="L168" si="342">+L169</f>
        <v>0</v>
      </c>
      <c r="M168" s="155">
        <f t="shared" ref="M168" si="343">+M169</f>
        <v>0</v>
      </c>
      <c r="N168" s="156">
        <f>1000+N169</f>
        <v>1000</v>
      </c>
      <c r="O168" s="153">
        <f>+O169</f>
        <v>0</v>
      </c>
      <c r="P168" s="63">
        <f>+P169</f>
        <v>0</v>
      </c>
    </row>
    <row r="169" spans="1:16" ht="15" customHeight="1" x14ac:dyDescent="0.35">
      <c r="A169" s="157" t="s">
        <v>724</v>
      </c>
      <c r="B169" s="151">
        <f t="shared" si="286"/>
        <v>0</v>
      </c>
      <c r="C169" s="152">
        <f t="shared" si="287"/>
        <v>0</v>
      </c>
      <c r="D169" s="153"/>
      <c r="E169" s="153"/>
      <c r="F169" s="154">
        <f t="shared" si="288"/>
        <v>0</v>
      </c>
      <c r="G169" s="155"/>
      <c r="H169" s="155"/>
      <c r="I169" s="155"/>
      <c r="J169" s="155"/>
      <c r="K169" s="155"/>
      <c r="L169" s="155"/>
      <c r="M169" s="155"/>
      <c r="N169" s="156"/>
      <c r="O169" s="155"/>
      <c r="P169" s="63"/>
    </row>
    <row r="170" spans="1:16" ht="30" customHeight="1" x14ac:dyDescent="0.35">
      <c r="A170" s="150" t="s">
        <v>13</v>
      </c>
      <c r="B170" s="151">
        <f t="shared" si="286"/>
        <v>107998</v>
      </c>
      <c r="C170" s="152">
        <f t="shared" si="287"/>
        <v>78831</v>
      </c>
      <c r="D170" s="153">
        <f>63703+D171</f>
        <v>63703</v>
      </c>
      <c r="E170" s="153">
        <f>15128+E171</f>
        <v>15128</v>
      </c>
      <c r="F170" s="154">
        <f t="shared" si="288"/>
        <v>29167</v>
      </c>
      <c r="G170" s="155">
        <f t="shared" ref="G170" si="344">+G171</f>
        <v>0</v>
      </c>
      <c r="H170" s="155">
        <f>22167+H171</f>
        <v>22167</v>
      </c>
      <c r="I170" s="155">
        <f>6509+I171</f>
        <v>6509</v>
      </c>
      <c r="J170" s="155">
        <f t="shared" si="335"/>
        <v>0</v>
      </c>
      <c r="K170" s="155">
        <f>491+K171</f>
        <v>491</v>
      </c>
      <c r="L170" s="155">
        <f t="shared" ref="L170" si="345">+L171</f>
        <v>0</v>
      </c>
      <c r="M170" s="155">
        <f t="shared" ref="M170" si="346">+M171</f>
        <v>0</v>
      </c>
      <c r="N170" s="156">
        <f>+N171</f>
        <v>0</v>
      </c>
      <c r="O170" s="153">
        <f>+O171</f>
        <v>0</v>
      </c>
      <c r="P170" s="63">
        <f>+P171</f>
        <v>0</v>
      </c>
    </row>
    <row r="171" spans="1:16" ht="15" customHeight="1" x14ac:dyDescent="0.35">
      <c r="A171" s="157" t="s">
        <v>724</v>
      </c>
      <c r="B171" s="151">
        <f t="shared" si="286"/>
        <v>0</v>
      </c>
      <c r="C171" s="152">
        <f t="shared" si="287"/>
        <v>0</v>
      </c>
      <c r="D171" s="153"/>
      <c r="E171" s="153"/>
      <c r="F171" s="154">
        <f t="shared" si="288"/>
        <v>0</v>
      </c>
      <c r="G171" s="155"/>
      <c r="H171" s="155"/>
      <c r="I171" s="155"/>
      <c r="J171" s="155"/>
      <c r="K171" s="155"/>
      <c r="L171" s="155"/>
      <c r="M171" s="155"/>
      <c r="N171" s="156"/>
      <c r="O171" s="155"/>
      <c r="P171" s="63"/>
    </row>
    <row r="172" spans="1:16" ht="21.75" customHeight="1" x14ac:dyDescent="0.35">
      <c r="A172" s="150" t="s">
        <v>226</v>
      </c>
      <c r="B172" s="151">
        <f t="shared" si="286"/>
        <v>109772</v>
      </c>
      <c r="C172" s="152">
        <f t="shared" si="287"/>
        <v>68233</v>
      </c>
      <c r="D172" s="153">
        <f>55128+D173</f>
        <v>55128</v>
      </c>
      <c r="E172" s="153">
        <f>13105+E173</f>
        <v>13105</v>
      </c>
      <c r="F172" s="154">
        <f t="shared" si="288"/>
        <v>41539</v>
      </c>
      <c r="G172" s="155">
        <f t="shared" ref="G172" si="347">+G173</f>
        <v>0</v>
      </c>
      <c r="H172" s="155">
        <f>37149+H173</f>
        <v>37149</v>
      </c>
      <c r="I172" s="155">
        <f>4390+I173</f>
        <v>4390</v>
      </c>
      <c r="J172" s="155">
        <f t="shared" si="335"/>
        <v>0</v>
      </c>
      <c r="K172" s="155">
        <f>+K173</f>
        <v>0</v>
      </c>
      <c r="L172" s="155">
        <f t="shared" ref="L172" si="348">+L173</f>
        <v>0</v>
      </c>
      <c r="M172" s="155">
        <f t="shared" ref="M172" si="349">+M173</f>
        <v>0</v>
      </c>
      <c r="N172" s="156">
        <f>+N173</f>
        <v>0</v>
      </c>
      <c r="O172" s="153">
        <f>+O173</f>
        <v>0</v>
      </c>
      <c r="P172" s="63">
        <f>+P173</f>
        <v>0</v>
      </c>
    </row>
    <row r="173" spans="1:16" ht="15" customHeight="1" x14ac:dyDescent="0.35">
      <c r="A173" s="157" t="s">
        <v>724</v>
      </c>
      <c r="B173" s="151">
        <f t="shared" si="286"/>
        <v>0</v>
      </c>
      <c r="C173" s="152">
        <f t="shared" si="287"/>
        <v>0</v>
      </c>
      <c r="D173" s="153"/>
      <c r="E173" s="153"/>
      <c r="F173" s="154">
        <f t="shared" si="288"/>
        <v>0</v>
      </c>
      <c r="G173" s="155"/>
      <c r="H173" s="155"/>
      <c r="I173" s="155"/>
      <c r="J173" s="155"/>
      <c r="K173" s="155"/>
      <c r="L173" s="155"/>
      <c r="M173" s="155"/>
      <c r="N173" s="156"/>
      <c r="O173" s="155"/>
      <c r="P173" s="63"/>
    </row>
    <row r="174" spans="1:16" ht="30" customHeight="1" x14ac:dyDescent="0.35">
      <c r="A174" s="150" t="s">
        <v>82</v>
      </c>
      <c r="B174" s="151">
        <f t="shared" si="286"/>
        <v>120889</v>
      </c>
      <c r="C174" s="152">
        <f t="shared" si="287"/>
        <v>75911</v>
      </c>
      <c r="D174" s="159">
        <f>61017+D175</f>
        <v>61017</v>
      </c>
      <c r="E174" s="159">
        <f>14894+E175</f>
        <v>14894</v>
      </c>
      <c r="F174" s="154">
        <f t="shared" si="288"/>
        <v>44978</v>
      </c>
      <c r="G174" s="155">
        <f t="shared" ref="G174" si="350">+G175</f>
        <v>0</v>
      </c>
      <c r="H174" s="155">
        <f>29618+H175</f>
        <v>29618</v>
      </c>
      <c r="I174" s="155">
        <f>14910+I175</f>
        <v>14910</v>
      </c>
      <c r="J174" s="155">
        <f t="shared" si="335"/>
        <v>0</v>
      </c>
      <c r="K174" s="155">
        <f>450+K175</f>
        <v>450</v>
      </c>
      <c r="L174" s="155">
        <f t="shared" ref="L174" si="351">+L175</f>
        <v>0</v>
      </c>
      <c r="M174" s="155">
        <f t="shared" ref="M174" si="352">+M175</f>
        <v>0</v>
      </c>
      <c r="N174" s="156">
        <f>+N175</f>
        <v>0</v>
      </c>
      <c r="O174" s="153">
        <f>+O175</f>
        <v>0</v>
      </c>
      <c r="P174" s="63">
        <f>+P175</f>
        <v>0</v>
      </c>
    </row>
    <row r="175" spans="1:16" ht="15" customHeight="1" x14ac:dyDescent="0.35">
      <c r="A175" s="157" t="s">
        <v>724</v>
      </c>
      <c r="B175" s="151">
        <f t="shared" si="286"/>
        <v>0</v>
      </c>
      <c r="C175" s="152">
        <f t="shared" si="287"/>
        <v>0</v>
      </c>
      <c r="D175" s="159"/>
      <c r="E175" s="159"/>
      <c r="F175" s="154">
        <f t="shared" si="288"/>
        <v>0</v>
      </c>
      <c r="G175" s="155"/>
      <c r="H175" s="155"/>
      <c r="I175" s="155"/>
      <c r="J175" s="155"/>
      <c r="K175" s="155"/>
      <c r="L175" s="155"/>
      <c r="M175" s="155"/>
      <c r="N175" s="160"/>
      <c r="O175" s="155"/>
      <c r="P175" s="63"/>
    </row>
    <row r="176" spans="1:16" ht="34.5" customHeight="1" x14ac:dyDescent="0.35">
      <c r="A176" s="150" t="s">
        <v>14</v>
      </c>
      <c r="B176" s="151">
        <f t="shared" si="286"/>
        <v>60774</v>
      </c>
      <c r="C176" s="152">
        <f t="shared" si="287"/>
        <v>53641</v>
      </c>
      <c r="D176" s="153">
        <f>43402+D177</f>
        <v>43402</v>
      </c>
      <c r="E176" s="153">
        <f>10239+E177</f>
        <v>10239</v>
      </c>
      <c r="F176" s="154">
        <f t="shared" si="288"/>
        <v>7133</v>
      </c>
      <c r="G176" s="155">
        <f t="shared" ref="G176" si="353">+G177</f>
        <v>0</v>
      </c>
      <c r="H176" s="155">
        <f>4165+H177</f>
        <v>4165</v>
      </c>
      <c r="I176" s="155">
        <f>2468+I177</f>
        <v>2968</v>
      </c>
      <c r="J176" s="155">
        <f t="shared" si="335"/>
        <v>0</v>
      </c>
      <c r="K176" s="155">
        <f>+K177</f>
        <v>0</v>
      </c>
      <c r="L176" s="155">
        <f t="shared" ref="L176" si="354">+L177</f>
        <v>0</v>
      </c>
      <c r="M176" s="155">
        <f t="shared" ref="M176" si="355">+M177</f>
        <v>0</v>
      </c>
      <c r="N176" s="156">
        <f>+N177</f>
        <v>0</v>
      </c>
      <c r="O176" s="153">
        <f>+O177</f>
        <v>0</v>
      </c>
      <c r="P176" s="63">
        <f>+P177</f>
        <v>0</v>
      </c>
    </row>
    <row r="177" spans="1:16" ht="15" customHeight="1" x14ac:dyDescent="0.35">
      <c r="A177" s="157" t="s">
        <v>724</v>
      </c>
      <c r="B177" s="151">
        <f t="shared" si="286"/>
        <v>500</v>
      </c>
      <c r="C177" s="152">
        <f t="shared" si="287"/>
        <v>0</v>
      </c>
      <c r="D177" s="153"/>
      <c r="E177" s="153"/>
      <c r="F177" s="154">
        <f t="shared" si="288"/>
        <v>500</v>
      </c>
      <c r="G177" s="155"/>
      <c r="H177" s="155"/>
      <c r="I177" s="155">
        <v>500</v>
      </c>
      <c r="J177" s="155"/>
      <c r="K177" s="155"/>
      <c r="L177" s="155"/>
      <c r="M177" s="155"/>
      <c r="N177" s="156"/>
      <c r="O177" s="155"/>
      <c r="P177" s="63"/>
    </row>
    <row r="178" spans="1:16" ht="29.25" customHeight="1" x14ac:dyDescent="0.35">
      <c r="A178" s="150" t="s">
        <v>569</v>
      </c>
      <c r="B178" s="151">
        <f t="shared" si="286"/>
        <v>45137</v>
      </c>
      <c r="C178" s="152">
        <f t="shared" si="287"/>
        <v>35177</v>
      </c>
      <c r="D178" s="153">
        <f>28434+D179</f>
        <v>28434</v>
      </c>
      <c r="E178" s="153">
        <f>6743+E179</f>
        <v>6743</v>
      </c>
      <c r="F178" s="154">
        <f t="shared" si="288"/>
        <v>9960</v>
      </c>
      <c r="G178" s="155">
        <f t="shared" ref="G178" si="356">+G179</f>
        <v>0</v>
      </c>
      <c r="H178" s="155">
        <f>7205+H179</f>
        <v>7205</v>
      </c>
      <c r="I178" s="155">
        <f>2627+I179</f>
        <v>2627</v>
      </c>
      <c r="J178" s="155">
        <f t="shared" si="335"/>
        <v>0</v>
      </c>
      <c r="K178" s="155">
        <f>128+K179</f>
        <v>128</v>
      </c>
      <c r="L178" s="155">
        <f t="shared" ref="L178" si="357">+L179</f>
        <v>0</v>
      </c>
      <c r="M178" s="155">
        <f t="shared" ref="M178" si="358">+M179</f>
        <v>0</v>
      </c>
      <c r="N178" s="156">
        <f>+N179</f>
        <v>0</v>
      </c>
      <c r="O178" s="153">
        <f>+O179</f>
        <v>0</v>
      </c>
      <c r="P178" s="63">
        <f>+P179</f>
        <v>0</v>
      </c>
    </row>
    <row r="179" spans="1:16" ht="15" customHeight="1" x14ac:dyDescent="0.35">
      <c r="A179" s="157" t="s">
        <v>724</v>
      </c>
      <c r="B179" s="151">
        <f t="shared" si="286"/>
        <v>0</v>
      </c>
      <c r="C179" s="152">
        <f t="shared" si="287"/>
        <v>0</v>
      </c>
      <c r="D179" s="153"/>
      <c r="E179" s="153"/>
      <c r="F179" s="154">
        <f t="shared" si="288"/>
        <v>0</v>
      </c>
      <c r="G179" s="155"/>
      <c r="H179" s="155"/>
      <c r="I179" s="155"/>
      <c r="J179" s="155"/>
      <c r="K179" s="155"/>
      <c r="L179" s="155"/>
      <c r="M179" s="155"/>
      <c r="N179" s="156"/>
      <c r="O179" s="155"/>
      <c r="P179" s="63"/>
    </row>
    <row r="180" spans="1:16" ht="25.5" customHeight="1" x14ac:dyDescent="0.35">
      <c r="A180" s="150" t="s">
        <v>83</v>
      </c>
      <c r="B180" s="151">
        <f t="shared" si="286"/>
        <v>188061</v>
      </c>
      <c r="C180" s="152">
        <f t="shared" si="287"/>
        <v>145832</v>
      </c>
      <c r="D180" s="159">
        <f>126952-9360+D181</f>
        <v>117592</v>
      </c>
      <c r="E180" s="159">
        <f>30448-2208+E181</f>
        <v>28240</v>
      </c>
      <c r="F180" s="154">
        <f t="shared" si="288"/>
        <v>42229</v>
      </c>
      <c r="G180" s="155">
        <f t="shared" ref="G180" si="359">+G181</f>
        <v>0</v>
      </c>
      <c r="H180" s="155">
        <f>19215+H181</f>
        <v>20472</v>
      </c>
      <c r="I180" s="155">
        <f>23557+I181</f>
        <v>21557</v>
      </c>
      <c r="J180" s="155">
        <f t="shared" si="335"/>
        <v>0</v>
      </c>
      <c r="K180" s="155">
        <f>200+K181</f>
        <v>200</v>
      </c>
      <c r="L180" s="155">
        <f t="shared" ref="L180" si="360">+L181</f>
        <v>0</v>
      </c>
      <c r="M180" s="155">
        <f t="shared" ref="M180" si="361">+M181</f>
        <v>0</v>
      </c>
      <c r="N180" s="156">
        <f>+N181</f>
        <v>0</v>
      </c>
      <c r="O180" s="153">
        <f>+O181</f>
        <v>0</v>
      </c>
      <c r="P180" s="63">
        <f>+P181</f>
        <v>0</v>
      </c>
    </row>
    <row r="181" spans="1:16" ht="15" customHeight="1" x14ac:dyDescent="0.35">
      <c r="A181" s="157" t="s">
        <v>724</v>
      </c>
      <c r="B181" s="151">
        <f t="shared" si="286"/>
        <v>-743</v>
      </c>
      <c r="C181" s="152">
        <f t="shared" si="287"/>
        <v>0</v>
      </c>
      <c r="D181" s="159"/>
      <c r="E181" s="159"/>
      <c r="F181" s="154">
        <f t="shared" si="288"/>
        <v>-743</v>
      </c>
      <c r="G181" s="155"/>
      <c r="H181" s="155">
        <v>1257</v>
      </c>
      <c r="I181" s="155">
        <v>-2000</v>
      </c>
      <c r="J181" s="155"/>
      <c r="K181" s="155"/>
      <c r="L181" s="155"/>
      <c r="M181" s="155"/>
      <c r="N181" s="160"/>
      <c r="O181" s="155"/>
      <c r="P181" s="63"/>
    </row>
    <row r="182" spans="1:16" ht="24.75" customHeight="1" x14ac:dyDescent="0.35">
      <c r="A182" s="150" t="s">
        <v>228</v>
      </c>
      <c r="B182" s="151">
        <f t="shared" si="286"/>
        <v>54491</v>
      </c>
      <c r="C182" s="152">
        <f t="shared" si="287"/>
        <v>41022</v>
      </c>
      <c r="D182" s="153">
        <f>33192+D183</f>
        <v>33192</v>
      </c>
      <c r="E182" s="153">
        <f>7830+E183</f>
        <v>7830</v>
      </c>
      <c r="F182" s="154">
        <f t="shared" si="288"/>
        <v>13469</v>
      </c>
      <c r="G182" s="155">
        <f t="shared" ref="G182" si="362">+G183</f>
        <v>0</v>
      </c>
      <c r="H182" s="155">
        <f>7110+H183</f>
        <v>7424</v>
      </c>
      <c r="I182" s="155">
        <f>6045+I183</f>
        <v>6045</v>
      </c>
      <c r="J182" s="155">
        <f t="shared" si="335"/>
        <v>0</v>
      </c>
      <c r="K182" s="155">
        <f>+K183</f>
        <v>0</v>
      </c>
      <c r="L182" s="155">
        <f t="shared" ref="L182" si="363">+L183</f>
        <v>0</v>
      </c>
      <c r="M182" s="155">
        <f t="shared" ref="M182" si="364">+M183</f>
        <v>0</v>
      </c>
      <c r="N182" s="156">
        <f>+N183</f>
        <v>0</v>
      </c>
      <c r="O182" s="153">
        <f>+O183</f>
        <v>0</v>
      </c>
      <c r="P182" s="63">
        <f>+P183</f>
        <v>0</v>
      </c>
    </row>
    <row r="183" spans="1:16" ht="15" customHeight="1" x14ac:dyDescent="0.35">
      <c r="A183" s="157" t="s">
        <v>724</v>
      </c>
      <c r="B183" s="151">
        <f t="shared" si="286"/>
        <v>314</v>
      </c>
      <c r="C183" s="152">
        <f t="shared" si="287"/>
        <v>0</v>
      </c>
      <c r="D183" s="153"/>
      <c r="E183" s="153"/>
      <c r="F183" s="154">
        <f t="shared" si="288"/>
        <v>314</v>
      </c>
      <c r="G183" s="155"/>
      <c r="H183" s="155">
        <v>314</v>
      </c>
      <c r="I183" s="155"/>
      <c r="J183" s="155"/>
      <c r="K183" s="155"/>
      <c r="L183" s="155"/>
      <c r="M183" s="155"/>
      <c r="N183" s="156">
        <v>0</v>
      </c>
      <c r="O183" s="155"/>
      <c r="P183" s="63"/>
    </row>
    <row r="184" spans="1:16" ht="27" customHeight="1" x14ac:dyDescent="0.35">
      <c r="A184" s="150" t="s">
        <v>15</v>
      </c>
      <c r="B184" s="151">
        <f t="shared" si="286"/>
        <v>109691</v>
      </c>
      <c r="C184" s="152">
        <f t="shared" si="287"/>
        <v>79486</v>
      </c>
      <c r="D184" s="153">
        <f>64314+D185</f>
        <v>64314</v>
      </c>
      <c r="E184" s="153">
        <f>15172+E185</f>
        <v>15172</v>
      </c>
      <c r="F184" s="154">
        <f t="shared" si="288"/>
        <v>26305</v>
      </c>
      <c r="G184" s="155">
        <f t="shared" ref="G184" si="365">+G185</f>
        <v>0</v>
      </c>
      <c r="H184" s="155">
        <f>13792+H185</f>
        <v>13792</v>
      </c>
      <c r="I184" s="155">
        <f>12303+I185</f>
        <v>12303</v>
      </c>
      <c r="J184" s="155">
        <f t="shared" si="335"/>
        <v>0</v>
      </c>
      <c r="K184" s="155">
        <f>210+K185</f>
        <v>210</v>
      </c>
      <c r="L184" s="155">
        <f t="shared" ref="L184" si="366">+L185</f>
        <v>0</v>
      </c>
      <c r="M184" s="155">
        <f t="shared" ref="M184" si="367">+M185</f>
        <v>0</v>
      </c>
      <c r="N184" s="156">
        <f>3900+N185</f>
        <v>3900</v>
      </c>
      <c r="O184" s="153">
        <f>+O185</f>
        <v>0</v>
      </c>
      <c r="P184" s="63">
        <f>+P185</f>
        <v>0</v>
      </c>
    </row>
    <row r="185" spans="1:16" ht="15" customHeight="1" x14ac:dyDescent="0.35">
      <c r="A185" s="157" t="s">
        <v>724</v>
      </c>
      <c r="B185" s="151">
        <f t="shared" si="286"/>
        <v>0</v>
      </c>
      <c r="C185" s="152">
        <f t="shared" si="287"/>
        <v>0</v>
      </c>
      <c r="D185" s="153"/>
      <c r="E185" s="153"/>
      <c r="F185" s="154">
        <f t="shared" si="288"/>
        <v>0</v>
      </c>
      <c r="G185" s="155"/>
      <c r="H185" s="155"/>
      <c r="I185" s="155"/>
      <c r="J185" s="155"/>
      <c r="K185" s="155"/>
      <c r="L185" s="155"/>
      <c r="M185" s="155"/>
      <c r="N185" s="156"/>
      <c r="O185" s="155"/>
      <c r="P185" s="63"/>
    </row>
    <row r="186" spans="1:16" ht="31.5" customHeight="1" x14ac:dyDescent="0.35">
      <c r="A186" s="150" t="s">
        <v>16</v>
      </c>
      <c r="B186" s="151">
        <f t="shared" si="286"/>
        <v>77646</v>
      </c>
      <c r="C186" s="152">
        <f t="shared" si="287"/>
        <v>64068</v>
      </c>
      <c r="D186" s="153">
        <f>51839+D187</f>
        <v>51839</v>
      </c>
      <c r="E186" s="153">
        <f>12229+E187</f>
        <v>12229</v>
      </c>
      <c r="F186" s="154">
        <f t="shared" si="288"/>
        <v>13578</v>
      </c>
      <c r="G186" s="155">
        <f t="shared" ref="G186" si="368">+G187</f>
        <v>0</v>
      </c>
      <c r="H186" s="155">
        <f>4298+H187</f>
        <v>4298</v>
      </c>
      <c r="I186" s="155">
        <f>9060+I187</f>
        <v>9060</v>
      </c>
      <c r="J186" s="155">
        <f t="shared" si="335"/>
        <v>0</v>
      </c>
      <c r="K186" s="155">
        <f>220+K187</f>
        <v>220</v>
      </c>
      <c r="L186" s="155">
        <f t="shared" ref="L186" si="369">+L187</f>
        <v>0</v>
      </c>
      <c r="M186" s="155">
        <f t="shared" ref="M186" si="370">+M187</f>
        <v>0</v>
      </c>
      <c r="N186" s="156">
        <f>+N187</f>
        <v>0</v>
      </c>
      <c r="O186" s="153">
        <f>+O187</f>
        <v>0</v>
      </c>
      <c r="P186" s="63">
        <f>+P187</f>
        <v>0</v>
      </c>
    </row>
    <row r="187" spans="1:16" ht="15" customHeight="1" x14ac:dyDescent="0.35">
      <c r="A187" s="157" t="s">
        <v>724</v>
      </c>
      <c r="B187" s="151">
        <f t="shared" si="286"/>
        <v>0</v>
      </c>
      <c r="C187" s="152">
        <f t="shared" si="287"/>
        <v>0</v>
      </c>
      <c r="D187" s="153"/>
      <c r="E187" s="153"/>
      <c r="F187" s="154">
        <f t="shared" si="288"/>
        <v>0</v>
      </c>
      <c r="G187" s="155"/>
      <c r="H187" s="155"/>
      <c r="I187" s="155"/>
      <c r="J187" s="155"/>
      <c r="K187" s="155"/>
      <c r="L187" s="155"/>
      <c r="M187" s="155"/>
      <c r="N187" s="156"/>
      <c r="O187" s="155"/>
      <c r="P187" s="63"/>
    </row>
    <row r="188" spans="1:16" ht="23.25" customHeight="1" x14ac:dyDescent="0.35">
      <c r="A188" s="150" t="s">
        <v>122</v>
      </c>
      <c r="B188" s="151">
        <f t="shared" si="286"/>
        <v>84747</v>
      </c>
      <c r="C188" s="152">
        <f t="shared" si="287"/>
        <v>33548</v>
      </c>
      <c r="D188" s="153">
        <f>27144+D189</f>
        <v>27144</v>
      </c>
      <c r="E188" s="153">
        <f>6404+E189</f>
        <v>6404</v>
      </c>
      <c r="F188" s="154">
        <f t="shared" si="288"/>
        <v>12839</v>
      </c>
      <c r="G188" s="155">
        <f t="shared" ref="G188" si="371">+G189</f>
        <v>0</v>
      </c>
      <c r="H188" s="155">
        <f>5795+H189</f>
        <v>5795</v>
      </c>
      <c r="I188" s="155">
        <f>6660+I189</f>
        <v>6660</v>
      </c>
      <c r="J188" s="155">
        <f t="shared" si="335"/>
        <v>0</v>
      </c>
      <c r="K188" s="161">
        <f>384+K189</f>
        <v>384</v>
      </c>
      <c r="L188" s="155">
        <f t="shared" ref="L188" si="372">+L189</f>
        <v>0</v>
      </c>
      <c r="M188" s="155">
        <f t="shared" ref="M188" si="373">+M189</f>
        <v>0</v>
      </c>
      <c r="N188" s="156">
        <f>38360+N189</f>
        <v>38360</v>
      </c>
      <c r="O188" s="153">
        <f>+O189</f>
        <v>0</v>
      </c>
      <c r="P188" s="63">
        <f>+P189</f>
        <v>0</v>
      </c>
    </row>
    <row r="189" spans="1:16" ht="15" customHeight="1" x14ac:dyDescent="0.35">
      <c r="A189" s="157" t="s">
        <v>724</v>
      </c>
      <c r="B189" s="151">
        <f t="shared" si="286"/>
        <v>0</v>
      </c>
      <c r="C189" s="152">
        <f t="shared" si="287"/>
        <v>0</v>
      </c>
      <c r="D189" s="153"/>
      <c r="E189" s="153"/>
      <c r="F189" s="154">
        <f t="shared" si="288"/>
        <v>0</v>
      </c>
      <c r="G189" s="155"/>
      <c r="H189" s="155"/>
      <c r="I189" s="155"/>
      <c r="J189" s="155"/>
      <c r="K189" s="161"/>
      <c r="L189" s="155"/>
      <c r="M189" s="155"/>
      <c r="N189" s="156"/>
      <c r="O189" s="155"/>
      <c r="P189" s="63"/>
    </row>
    <row r="190" spans="1:16" ht="27.75" customHeight="1" x14ac:dyDescent="0.35">
      <c r="A190" s="150" t="s">
        <v>17</v>
      </c>
      <c r="B190" s="151">
        <f t="shared" si="286"/>
        <v>107410</v>
      </c>
      <c r="C190" s="152">
        <f t="shared" si="287"/>
        <v>86891</v>
      </c>
      <c r="D190" s="153">
        <f>70306+D191</f>
        <v>70306</v>
      </c>
      <c r="E190" s="153">
        <f>16585+E191</f>
        <v>16585</v>
      </c>
      <c r="F190" s="154">
        <f t="shared" si="288"/>
        <v>20519</v>
      </c>
      <c r="G190" s="155">
        <f t="shared" ref="G190" si="374">+G191</f>
        <v>0</v>
      </c>
      <c r="H190" s="155">
        <f>7748+H191</f>
        <v>7748</v>
      </c>
      <c r="I190" s="155">
        <f>12571+I191</f>
        <v>12571</v>
      </c>
      <c r="J190" s="155">
        <f t="shared" si="335"/>
        <v>0</v>
      </c>
      <c r="K190" s="155">
        <f>200+K191</f>
        <v>200</v>
      </c>
      <c r="L190" s="155">
        <f t="shared" ref="L190" si="375">+L191</f>
        <v>0</v>
      </c>
      <c r="M190" s="155">
        <f t="shared" ref="M190" si="376">+M191</f>
        <v>0</v>
      </c>
      <c r="N190" s="156">
        <f>+N191</f>
        <v>0</v>
      </c>
      <c r="O190" s="153">
        <f>+O191</f>
        <v>0</v>
      </c>
      <c r="P190" s="63">
        <f>+P191</f>
        <v>0</v>
      </c>
    </row>
    <row r="191" spans="1:16" ht="15" customHeight="1" x14ac:dyDescent="0.35">
      <c r="A191" s="157" t="s">
        <v>724</v>
      </c>
      <c r="B191" s="151">
        <f t="shared" si="286"/>
        <v>0</v>
      </c>
      <c r="C191" s="152">
        <f t="shared" si="287"/>
        <v>0</v>
      </c>
      <c r="D191" s="153"/>
      <c r="E191" s="153"/>
      <c r="F191" s="154">
        <f t="shared" si="288"/>
        <v>0</v>
      </c>
      <c r="G191" s="155"/>
      <c r="H191" s="155"/>
      <c r="I191" s="155"/>
      <c r="J191" s="155"/>
      <c r="K191" s="155"/>
      <c r="L191" s="155"/>
      <c r="M191" s="155"/>
      <c r="N191" s="156"/>
      <c r="O191" s="155"/>
      <c r="P191" s="63"/>
    </row>
    <row r="192" spans="1:16" ht="27.75" customHeight="1" x14ac:dyDescent="0.35">
      <c r="A192" s="150" t="s">
        <v>567</v>
      </c>
      <c r="B192" s="151">
        <f t="shared" si="286"/>
        <v>16605</v>
      </c>
      <c r="C192" s="152">
        <f t="shared" si="287"/>
        <v>11569</v>
      </c>
      <c r="D192" s="153">
        <f>9360+D193</f>
        <v>9360</v>
      </c>
      <c r="E192" s="153">
        <f>2209+E193</f>
        <v>2209</v>
      </c>
      <c r="F192" s="154">
        <f t="shared" si="288"/>
        <v>5036</v>
      </c>
      <c r="G192" s="155">
        <f t="shared" ref="G192" si="377">+G193</f>
        <v>0</v>
      </c>
      <c r="H192" s="155">
        <f>500+H193</f>
        <v>500</v>
      </c>
      <c r="I192" s="155">
        <f>4536+I193</f>
        <v>4536</v>
      </c>
      <c r="J192" s="155">
        <f t="shared" si="335"/>
        <v>0</v>
      </c>
      <c r="K192" s="155">
        <f>+K193</f>
        <v>0</v>
      </c>
      <c r="L192" s="155">
        <f t="shared" ref="L192" si="378">+L193</f>
        <v>0</v>
      </c>
      <c r="M192" s="155">
        <f t="shared" ref="M192" si="379">+M193</f>
        <v>0</v>
      </c>
      <c r="N192" s="156">
        <f>+N193</f>
        <v>0</v>
      </c>
      <c r="O192" s="153">
        <f>+O193</f>
        <v>0</v>
      </c>
      <c r="P192" s="63">
        <f>+P193</f>
        <v>0</v>
      </c>
    </row>
    <row r="193" spans="1:16" ht="15" customHeight="1" x14ac:dyDescent="0.35">
      <c r="A193" s="157" t="s">
        <v>724</v>
      </c>
      <c r="B193" s="151">
        <f t="shared" si="286"/>
        <v>0</v>
      </c>
      <c r="C193" s="152">
        <f t="shared" si="287"/>
        <v>0</v>
      </c>
      <c r="D193" s="153"/>
      <c r="E193" s="153"/>
      <c r="F193" s="154">
        <f t="shared" si="288"/>
        <v>0</v>
      </c>
      <c r="G193" s="155"/>
      <c r="H193" s="155"/>
      <c r="I193" s="155"/>
      <c r="J193" s="155"/>
      <c r="K193" s="155"/>
      <c r="L193" s="155"/>
      <c r="M193" s="155"/>
      <c r="N193" s="156"/>
      <c r="O193" s="155"/>
      <c r="P193" s="63"/>
    </row>
    <row r="194" spans="1:16" ht="27.75" customHeight="1" x14ac:dyDescent="0.35">
      <c r="A194" s="150" t="s">
        <v>568</v>
      </c>
      <c r="B194" s="151">
        <f t="shared" si="286"/>
        <v>49941</v>
      </c>
      <c r="C194" s="152">
        <f t="shared" si="287"/>
        <v>37878</v>
      </c>
      <c r="D194" s="153">
        <f>30648+D195</f>
        <v>30648</v>
      </c>
      <c r="E194" s="153">
        <f>7230+E195</f>
        <v>7230</v>
      </c>
      <c r="F194" s="154">
        <f t="shared" si="288"/>
        <v>11074</v>
      </c>
      <c r="G194" s="155">
        <f t="shared" ref="G194" si="380">+G195</f>
        <v>0</v>
      </c>
      <c r="H194" s="155">
        <f>3226+H195</f>
        <v>3226</v>
      </c>
      <c r="I194" s="155">
        <f>7027+I195</f>
        <v>7848</v>
      </c>
      <c r="J194" s="155">
        <f t="shared" si="335"/>
        <v>0</v>
      </c>
      <c r="K194" s="155">
        <f t="shared" ref="K194" si="381">+K195</f>
        <v>0</v>
      </c>
      <c r="L194" s="155">
        <f t="shared" ref="L194" si="382">+L195</f>
        <v>0</v>
      </c>
      <c r="M194" s="155">
        <f t="shared" ref="M194" si="383">+M195</f>
        <v>0</v>
      </c>
      <c r="N194" s="156">
        <f>989+N195</f>
        <v>989</v>
      </c>
      <c r="O194" s="153">
        <f>+O195</f>
        <v>0</v>
      </c>
      <c r="P194" s="63">
        <f>+P195</f>
        <v>0</v>
      </c>
    </row>
    <row r="195" spans="1:16" ht="15" customHeight="1" x14ac:dyDescent="0.35">
      <c r="A195" s="157" t="s">
        <v>724</v>
      </c>
      <c r="B195" s="151">
        <f t="shared" si="286"/>
        <v>821</v>
      </c>
      <c r="C195" s="152">
        <f t="shared" si="287"/>
        <v>0</v>
      </c>
      <c r="D195" s="153"/>
      <c r="E195" s="153"/>
      <c r="F195" s="154">
        <f t="shared" si="288"/>
        <v>821</v>
      </c>
      <c r="G195" s="155"/>
      <c r="H195" s="155"/>
      <c r="I195" s="155">
        <v>821</v>
      </c>
      <c r="J195" s="155"/>
      <c r="K195" s="155"/>
      <c r="L195" s="155"/>
      <c r="M195" s="155"/>
      <c r="N195" s="156"/>
      <c r="O195" s="155"/>
      <c r="P195" s="63"/>
    </row>
    <row r="196" spans="1:16" ht="27.75" customHeight="1" x14ac:dyDescent="0.35">
      <c r="A196" s="158" t="s">
        <v>571</v>
      </c>
      <c r="B196" s="151">
        <f t="shared" si="286"/>
        <v>229104</v>
      </c>
      <c r="C196" s="152">
        <f t="shared" si="287"/>
        <v>175875</v>
      </c>
      <c r="D196" s="153">
        <f>152922-10725+D197</f>
        <v>142197</v>
      </c>
      <c r="E196" s="153">
        <f>36208-2530+E197</f>
        <v>33678</v>
      </c>
      <c r="F196" s="154">
        <f t="shared" si="288"/>
        <v>53229</v>
      </c>
      <c r="G196" s="155">
        <f t="shared" ref="G196" si="384">+G197</f>
        <v>0</v>
      </c>
      <c r="H196" s="155">
        <f>20385+H197</f>
        <v>21480</v>
      </c>
      <c r="I196" s="155">
        <f>27275+I197</f>
        <v>31749</v>
      </c>
      <c r="J196" s="155">
        <f t="shared" si="335"/>
        <v>0</v>
      </c>
      <c r="K196" s="155">
        <f t="shared" ref="K196" si="385">+K197</f>
        <v>0</v>
      </c>
      <c r="L196" s="155">
        <f t="shared" ref="L196" si="386">+L197</f>
        <v>0</v>
      </c>
      <c r="M196" s="155">
        <f t="shared" ref="M196" si="387">+M197</f>
        <v>0</v>
      </c>
      <c r="N196" s="156">
        <f>+N197</f>
        <v>0</v>
      </c>
      <c r="O196" s="153">
        <f>+O197</f>
        <v>0</v>
      </c>
      <c r="P196" s="63">
        <f>+P197</f>
        <v>0</v>
      </c>
    </row>
    <row r="197" spans="1:16" ht="15" customHeight="1" x14ac:dyDescent="0.35">
      <c r="A197" s="157" t="s">
        <v>724</v>
      </c>
      <c r="B197" s="151">
        <f t="shared" si="286"/>
        <v>5569</v>
      </c>
      <c r="C197" s="152">
        <f t="shared" si="287"/>
        <v>0</v>
      </c>
      <c r="D197" s="153"/>
      <c r="E197" s="153"/>
      <c r="F197" s="154">
        <f t="shared" si="288"/>
        <v>5569</v>
      </c>
      <c r="G197" s="155"/>
      <c r="H197" s="155">
        <v>1095</v>
      </c>
      <c r="I197" s="155">
        <f>5569-1095</f>
        <v>4474</v>
      </c>
      <c r="J197" s="155"/>
      <c r="K197" s="155"/>
      <c r="L197" s="155"/>
      <c r="M197" s="155"/>
      <c r="N197" s="156"/>
      <c r="O197" s="155"/>
      <c r="P197" s="63"/>
    </row>
    <row r="198" spans="1:16" ht="30" customHeight="1" x14ac:dyDescent="0.35">
      <c r="A198" s="158" t="s">
        <v>664</v>
      </c>
      <c r="B198" s="151">
        <f t="shared" si="286"/>
        <v>79658</v>
      </c>
      <c r="C198" s="152">
        <f t="shared" si="287"/>
        <v>0</v>
      </c>
      <c r="D198" s="153">
        <f>+D199</f>
        <v>0</v>
      </c>
      <c r="E198" s="153">
        <f>+E199</f>
        <v>0</v>
      </c>
      <c r="F198" s="154">
        <f t="shared" si="288"/>
        <v>79658</v>
      </c>
      <c r="G198" s="155">
        <f t="shared" ref="G198" si="388">+G199</f>
        <v>0</v>
      </c>
      <c r="H198" s="155">
        <f>78658+H199</f>
        <v>78658</v>
      </c>
      <c r="I198" s="155">
        <f>1000+I199</f>
        <v>1000</v>
      </c>
      <c r="J198" s="155">
        <f t="shared" si="335"/>
        <v>0</v>
      </c>
      <c r="K198" s="155">
        <f t="shared" ref="K198" si="389">+K199</f>
        <v>0</v>
      </c>
      <c r="L198" s="155">
        <f t="shared" ref="L198" si="390">+L199</f>
        <v>0</v>
      </c>
      <c r="M198" s="155">
        <f t="shared" ref="M198" si="391">+M199</f>
        <v>0</v>
      </c>
      <c r="N198" s="156">
        <f>+N199</f>
        <v>0</v>
      </c>
      <c r="O198" s="153">
        <f>+O199</f>
        <v>0</v>
      </c>
      <c r="P198" s="63">
        <f>+P199</f>
        <v>0</v>
      </c>
    </row>
    <row r="199" spans="1:16" ht="15" customHeight="1" x14ac:dyDescent="0.35">
      <c r="A199" s="157" t="s">
        <v>724</v>
      </c>
      <c r="B199" s="151">
        <f t="shared" si="286"/>
        <v>0</v>
      </c>
      <c r="C199" s="152">
        <f t="shared" si="287"/>
        <v>0</v>
      </c>
      <c r="D199" s="153"/>
      <c r="E199" s="153"/>
      <c r="F199" s="154">
        <f t="shared" si="288"/>
        <v>0</v>
      </c>
      <c r="G199" s="155"/>
      <c r="H199" s="155"/>
      <c r="I199" s="155"/>
      <c r="J199" s="155"/>
      <c r="K199" s="155"/>
      <c r="L199" s="155"/>
      <c r="M199" s="155"/>
      <c r="N199" s="156"/>
      <c r="O199" s="155"/>
      <c r="P199" s="63"/>
    </row>
    <row r="200" spans="1:16" ht="30" customHeight="1" x14ac:dyDescent="0.35">
      <c r="A200" s="158" t="s">
        <v>672</v>
      </c>
      <c r="B200" s="151">
        <f t="shared" si="286"/>
        <v>200</v>
      </c>
      <c r="C200" s="152">
        <f t="shared" si="287"/>
        <v>0</v>
      </c>
      <c r="D200" s="153">
        <f t="shared" ref="D200" si="392">+D201</f>
        <v>0</v>
      </c>
      <c r="E200" s="153">
        <f t="shared" ref="E200" si="393">+E201</f>
        <v>0</v>
      </c>
      <c r="F200" s="154">
        <f t="shared" si="288"/>
        <v>200</v>
      </c>
      <c r="G200" s="155">
        <f t="shared" ref="G200" si="394">+G201</f>
        <v>0</v>
      </c>
      <c r="H200" s="155">
        <f>200+H201</f>
        <v>200</v>
      </c>
      <c r="I200" s="155">
        <f>+I201</f>
        <v>0</v>
      </c>
      <c r="J200" s="155">
        <f t="shared" si="335"/>
        <v>0</v>
      </c>
      <c r="K200" s="155">
        <f t="shared" ref="K200" si="395">+K201</f>
        <v>0</v>
      </c>
      <c r="L200" s="155">
        <f t="shared" ref="L200" si="396">+L201</f>
        <v>0</v>
      </c>
      <c r="M200" s="155">
        <f t="shared" ref="M200" si="397">+M201</f>
        <v>0</v>
      </c>
      <c r="N200" s="156">
        <f>+N201</f>
        <v>0</v>
      </c>
      <c r="O200" s="153">
        <f>+O201</f>
        <v>0</v>
      </c>
      <c r="P200" s="63">
        <f>+P201</f>
        <v>0</v>
      </c>
    </row>
    <row r="201" spans="1:16" ht="15" customHeight="1" x14ac:dyDescent="0.35">
      <c r="A201" s="157" t="s">
        <v>724</v>
      </c>
      <c r="B201" s="151">
        <f t="shared" si="286"/>
        <v>0</v>
      </c>
      <c r="C201" s="152">
        <f t="shared" si="287"/>
        <v>0</v>
      </c>
      <c r="D201" s="153"/>
      <c r="E201" s="153"/>
      <c r="F201" s="154">
        <f t="shared" si="288"/>
        <v>0</v>
      </c>
      <c r="G201" s="155"/>
      <c r="H201" s="155"/>
      <c r="I201" s="155"/>
      <c r="J201" s="155"/>
      <c r="K201" s="155"/>
      <c r="L201" s="155"/>
      <c r="M201" s="155"/>
      <c r="N201" s="156"/>
      <c r="O201" s="155"/>
      <c r="P201" s="63"/>
    </row>
    <row r="202" spans="1:16" ht="30" customHeight="1" x14ac:dyDescent="0.35">
      <c r="A202" s="158" t="s">
        <v>665</v>
      </c>
      <c r="B202" s="151">
        <f t="shared" si="286"/>
        <v>340</v>
      </c>
      <c r="C202" s="152">
        <f t="shared" si="287"/>
        <v>0</v>
      </c>
      <c r="D202" s="153">
        <f t="shared" ref="D202" si="398">+D203</f>
        <v>0</v>
      </c>
      <c r="E202" s="153">
        <f t="shared" ref="E202" si="399">+E203</f>
        <v>0</v>
      </c>
      <c r="F202" s="154">
        <f t="shared" si="288"/>
        <v>340</v>
      </c>
      <c r="G202" s="155">
        <f t="shared" ref="G202" si="400">+G203</f>
        <v>0</v>
      </c>
      <c r="H202" s="155">
        <f>340+H203</f>
        <v>340</v>
      </c>
      <c r="I202" s="155">
        <f t="shared" ref="I202" si="401">+I203</f>
        <v>0</v>
      </c>
      <c r="J202" s="155">
        <f t="shared" si="335"/>
        <v>0</v>
      </c>
      <c r="K202" s="155">
        <f t="shared" ref="K202" si="402">+K203</f>
        <v>0</v>
      </c>
      <c r="L202" s="155">
        <f t="shared" ref="L202" si="403">+L203</f>
        <v>0</v>
      </c>
      <c r="M202" s="155">
        <f t="shared" ref="M202" si="404">+M203</f>
        <v>0</v>
      </c>
      <c r="N202" s="156">
        <f>+N203</f>
        <v>0</v>
      </c>
      <c r="O202" s="153">
        <f>+O203</f>
        <v>0</v>
      </c>
      <c r="P202" s="63">
        <f>+P203</f>
        <v>0</v>
      </c>
    </row>
    <row r="203" spans="1:16" ht="15" customHeight="1" x14ac:dyDescent="0.35">
      <c r="A203" s="157" t="s">
        <v>724</v>
      </c>
      <c r="B203" s="151">
        <f t="shared" si="286"/>
        <v>0</v>
      </c>
      <c r="C203" s="152">
        <f t="shared" si="287"/>
        <v>0</v>
      </c>
      <c r="D203" s="153"/>
      <c r="E203" s="153"/>
      <c r="F203" s="154">
        <f t="shared" si="288"/>
        <v>0</v>
      </c>
      <c r="G203" s="155"/>
      <c r="H203" s="155"/>
      <c r="I203" s="155"/>
      <c r="J203" s="155"/>
      <c r="K203" s="155"/>
      <c r="L203" s="155"/>
      <c r="M203" s="155"/>
      <c r="N203" s="156"/>
      <c r="O203" s="155"/>
      <c r="P203" s="63"/>
    </row>
    <row r="204" spans="1:16" ht="30" customHeight="1" x14ac:dyDescent="0.35">
      <c r="A204" s="158" t="s">
        <v>666</v>
      </c>
      <c r="B204" s="151">
        <f t="shared" si="286"/>
        <v>1810</v>
      </c>
      <c r="C204" s="152">
        <f t="shared" si="287"/>
        <v>0</v>
      </c>
      <c r="D204" s="153">
        <f t="shared" ref="D204" si="405">+D205</f>
        <v>0</v>
      </c>
      <c r="E204" s="153">
        <f t="shared" ref="E204" si="406">+E205</f>
        <v>0</v>
      </c>
      <c r="F204" s="154">
        <f t="shared" si="288"/>
        <v>1810</v>
      </c>
      <c r="G204" s="155">
        <f t="shared" ref="G204" si="407">+G205</f>
        <v>0</v>
      </c>
      <c r="H204" s="155">
        <f>1810+H205</f>
        <v>1810</v>
      </c>
      <c r="I204" s="155">
        <f t="shared" ref="I204" si="408">+I205</f>
        <v>0</v>
      </c>
      <c r="J204" s="155">
        <f t="shared" si="335"/>
        <v>0</v>
      </c>
      <c r="K204" s="155">
        <f t="shared" ref="K204" si="409">+K205</f>
        <v>0</v>
      </c>
      <c r="L204" s="155">
        <f t="shared" ref="L204" si="410">+L205</f>
        <v>0</v>
      </c>
      <c r="M204" s="155">
        <f t="shared" ref="M204" si="411">+M205</f>
        <v>0</v>
      </c>
      <c r="N204" s="156">
        <f>+N205</f>
        <v>0</v>
      </c>
      <c r="O204" s="153">
        <f>+O205</f>
        <v>0</v>
      </c>
      <c r="P204" s="63">
        <f>+P205</f>
        <v>0</v>
      </c>
    </row>
    <row r="205" spans="1:16" ht="15" customHeight="1" x14ac:dyDescent="0.35">
      <c r="A205" s="157" t="s">
        <v>724</v>
      </c>
      <c r="B205" s="151">
        <f t="shared" si="286"/>
        <v>0</v>
      </c>
      <c r="C205" s="152">
        <f t="shared" si="287"/>
        <v>0</v>
      </c>
      <c r="D205" s="153"/>
      <c r="E205" s="153"/>
      <c r="F205" s="154">
        <f t="shared" si="288"/>
        <v>0</v>
      </c>
      <c r="G205" s="155"/>
      <c r="H205" s="155"/>
      <c r="I205" s="155"/>
      <c r="J205" s="155"/>
      <c r="K205" s="155"/>
      <c r="L205" s="155"/>
      <c r="M205" s="155"/>
      <c r="N205" s="156"/>
      <c r="O205" s="155"/>
      <c r="P205" s="63"/>
    </row>
    <row r="206" spans="1:16" ht="30" customHeight="1" x14ac:dyDescent="0.35">
      <c r="A206" s="158" t="s">
        <v>667</v>
      </c>
      <c r="B206" s="151">
        <f t="shared" si="286"/>
        <v>3043</v>
      </c>
      <c r="C206" s="152">
        <f t="shared" si="287"/>
        <v>0</v>
      </c>
      <c r="D206" s="153">
        <f t="shared" ref="D206" si="412">+D207</f>
        <v>0</v>
      </c>
      <c r="E206" s="153">
        <f t="shared" ref="E206" si="413">+E207</f>
        <v>0</v>
      </c>
      <c r="F206" s="154">
        <f t="shared" si="288"/>
        <v>3043</v>
      </c>
      <c r="G206" s="155">
        <f t="shared" ref="G206" si="414">+G207</f>
        <v>0</v>
      </c>
      <c r="H206" s="155">
        <f>3043+H207</f>
        <v>3043</v>
      </c>
      <c r="I206" s="155">
        <f t="shared" ref="I206" si="415">+I207</f>
        <v>0</v>
      </c>
      <c r="J206" s="155">
        <f t="shared" si="335"/>
        <v>0</v>
      </c>
      <c r="K206" s="155">
        <f t="shared" ref="K206" si="416">+K207</f>
        <v>0</v>
      </c>
      <c r="L206" s="155">
        <f t="shared" ref="L206" si="417">+L207</f>
        <v>0</v>
      </c>
      <c r="M206" s="155">
        <f t="shared" ref="M206" si="418">+M207</f>
        <v>0</v>
      </c>
      <c r="N206" s="156">
        <f>+N207</f>
        <v>0</v>
      </c>
      <c r="O206" s="153">
        <f>+O207</f>
        <v>0</v>
      </c>
      <c r="P206" s="63">
        <f>+P207</f>
        <v>0</v>
      </c>
    </row>
    <row r="207" spans="1:16" ht="15" customHeight="1" x14ac:dyDescent="0.35">
      <c r="A207" s="157" t="s">
        <v>724</v>
      </c>
      <c r="B207" s="151">
        <f t="shared" si="286"/>
        <v>0</v>
      </c>
      <c r="C207" s="152">
        <f t="shared" si="287"/>
        <v>0</v>
      </c>
      <c r="D207" s="153"/>
      <c r="E207" s="153"/>
      <c r="F207" s="154">
        <f t="shared" si="288"/>
        <v>0</v>
      </c>
      <c r="G207" s="155"/>
      <c r="H207" s="155"/>
      <c r="I207" s="155"/>
      <c r="J207" s="155"/>
      <c r="K207" s="155"/>
      <c r="L207" s="155"/>
      <c r="M207" s="155"/>
      <c r="N207" s="156"/>
      <c r="O207" s="155"/>
      <c r="P207" s="63"/>
    </row>
    <row r="208" spans="1:16" ht="30" customHeight="1" x14ac:dyDescent="0.35">
      <c r="A208" s="158" t="s">
        <v>668</v>
      </c>
      <c r="B208" s="151">
        <f t="shared" si="286"/>
        <v>3750</v>
      </c>
      <c r="C208" s="152">
        <f t="shared" si="287"/>
        <v>0</v>
      </c>
      <c r="D208" s="153">
        <f t="shared" ref="D208" si="419">+D209</f>
        <v>0</v>
      </c>
      <c r="E208" s="153">
        <f t="shared" ref="E208" si="420">+E209</f>
        <v>0</v>
      </c>
      <c r="F208" s="154">
        <f t="shared" si="288"/>
        <v>3750</v>
      </c>
      <c r="G208" s="155">
        <f t="shared" ref="G208" si="421">+G209</f>
        <v>0</v>
      </c>
      <c r="H208" s="155">
        <f>3750+H209</f>
        <v>3750</v>
      </c>
      <c r="I208" s="155">
        <f t="shared" ref="I208" si="422">+I209</f>
        <v>0</v>
      </c>
      <c r="J208" s="155">
        <f t="shared" si="335"/>
        <v>0</v>
      </c>
      <c r="K208" s="155">
        <f t="shared" ref="K208" si="423">+K209</f>
        <v>0</v>
      </c>
      <c r="L208" s="155">
        <f t="shared" ref="L208" si="424">+L209</f>
        <v>0</v>
      </c>
      <c r="M208" s="155">
        <f t="shared" ref="M208" si="425">+M209</f>
        <v>0</v>
      </c>
      <c r="N208" s="156">
        <f>+N209</f>
        <v>0</v>
      </c>
      <c r="O208" s="153">
        <f>+O209</f>
        <v>0</v>
      </c>
      <c r="P208" s="63">
        <f>+P209</f>
        <v>0</v>
      </c>
    </row>
    <row r="209" spans="1:16" ht="15" customHeight="1" x14ac:dyDescent="0.35">
      <c r="A209" s="157" t="s">
        <v>724</v>
      </c>
      <c r="B209" s="151">
        <f t="shared" si="286"/>
        <v>0</v>
      </c>
      <c r="C209" s="152">
        <f t="shared" si="287"/>
        <v>0</v>
      </c>
      <c r="D209" s="153"/>
      <c r="E209" s="153"/>
      <c r="F209" s="154">
        <f t="shared" si="288"/>
        <v>0</v>
      </c>
      <c r="G209" s="155"/>
      <c r="H209" s="155"/>
      <c r="I209" s="155"/>
      <c r="J209" s="155"/>
      <c r="K209" s="155"/>
      <c r="L209" s="155"/>
      <c r="M209" s="155"/>
      <c r="N209" s="156"/>
      <c r="O209" s="155"/>
      <c r="P209" s="63"/>
    </row>
    <row r="210" spans="1:16" ht="30" customHeight="1" x14ac:dyDescent="0.35">
      <c r="A210" s="158" t="s">
        <v>679</v>
      </c>
      <c r="B210" s="151">
        <f t="shared" si="286"/>
        <v>9400</v>
      </c>
      <c r="C210" s="152">
        <f t="shared" si="287"/>
        <v>0</v>
      </c>
      <c r="D210" s="153">
        <f t="shared" ref="D210" si="426">+D211</f>
        <v>0</v>
      </c>
      <c r="E210" s="153">
        <f t="shared" ref="E210" si="427">+E211</f>
        <v>0</v>
      </c>
      <c r="F210" s="154">
        <f t="shared" si="288"/>
        <v>9400</v>
      </c>
      <c r="G210" s="155">
        <f t="shared" ref="G210" si="428">+G211</f>
        <v>0</v>
      </c>
      <c r="H210" s="155">
        <f>9400+H211</f>
        <v>9400</v>
      </c>
      <c r="I210" s="155">
        <f t="shared" ref="I210" si="429">+I211</f>
        <v>0</v>
      </c>
      <c r="J210" s="155">
        <f t="shared" si="335"/>
        <v>0</v>
      </c>
      <c r="K210" s="155">
        <f t="shared" ref="K210" si="430">+K211</f>
        <v>0</v>
      </c>
      <c r="L210" s="155">
        <f t="shared" ref="L210" si="431">+L211</f>
        <v>0</v>
      </c>
      <c r="M210" s="155">
        <f t="shared" ref="M210" si="432">+M211</f>
        <v>0</v>
      </c>
      <c r="N210" s="156">
        <f>+N211</f>
        <v>0</v>
      </c>
      <c r="O210" s="153">
        <f>+O211</f>
        <v>0</v>
      </c>
      <c r="P210" s="63">
        <f>+P211</f>
        <v>0</v>
      </c>
    </row>
    <row r="211" spans="1:16" ht="15" customHeight="1" x14ac:dyDescent="0.35">
      <c r="A211" s="157" t="s">
        <v>724</v>
      </c>
      <c r="B211" s="151">
        <f t="shared" ref="B211:B274" si="433">SUM(C211+F211,L211,M211,N211,O211,P211)</f>
        <v>0</v>
      </c>
      <c r="C211" s="152">
        <f t="shared" ref="C211:C274" si="434">D211+E211</f>
        <v>0</v>
      </c>
      <c r="D211" s="153"/>
      <c r="E211" s="153"/>
      <c r="F211" s="154">
        <f t="shared" ref="F211:F274" si="435">SUM(G211,H211,I211,J211,K211)</f>
        <v>0</v>
      </c>
      <c r="G211" s="155"/>
      <c r="H211" s="155"/>
      <c r="I211" s="155"/>
      <c r="J211" s="155"/>
      <c r="K211" s="155"/>
      <c r="L211" s="155"/>
      <c r="M211" s="155"/>
      <c r="N211" s="156"/>
      <c r="O211" s="155"/>
      <c r="P211" s="63"/>
    </row>
    <row r="212" spans="1:16" ht="30" customHeight="1" x14ac:dyDescent="0.35">
      <c r="A212" s="158" t="s">
        <v>674</v>
      </c>
      <c r="B212" s="151">
        <f t="shared" si="433"/>
        <v>2415</v>
      </c>
      <c r="C212" s="152">
        <f t="shared" si="434"/>
        <v>0</v>
      </c>
      <c r="D212" s="153">
        <f t="shared" ref="D212" si="436">+D213</f>
        <v>0</v>
      </c>
      <c r="E212" s="153">
        <f t="shared" ref="E212" si="437">+E213</f>
        <v>0</v>
      </c>
      <c r="F212" s="154">
        <f t="shared" si="435"/>
        <v>2415</v>
      </c>
      <c r="G212" s="155">
        <f t="shared" ref="G212" si="438">+G213</f>
        <v>0</v>
      </c>
      <c r="H212" s="155">
        <f>2415+H213</f>
        <v>2415</v>
      </c>
      <c r="I212" s="155">
        <f t="shared" ref="I212" si="439">+I213</f>
        <v>0</v>
      </c>
      <c r="J212" s="155">
        <f t="shared" si="335"/>
        <v>0</v>
      </c>
      <c r="K212" s="155">
        <f t="shared" ref="K212" si="440">+K213</f>
        <v>0</v>
      </c>
      <c r="L212" s="155">
        <f t="shared" ref="L212" si="441">+L213</f>
        <v>0</v>
      </c>
      <c r="M212" s="155">
        <f t="shared" ref="M212" si="442">+M213</f>
        <v>0</v>
      </c>
      <c r="N212" s="156">
        <f>+N213</f>
        <v>0</v>
      </c>
      <c r="O212" s="153">
        <f>+O213</f>
        <v>0</v>
      </c>
      <c r="P212" s="63">
        <f>+P213</f>
        <v>0</v>
      </c>
    </row>
    <row r="213" spans="1:16" ht="15" customHeight="1" x14ac:dyDescent="0.35">
      <c r="A213" s="157" t="s">
        <v>724</v>
      </c>
      <c r="B213" s="151">
        <f t="shared" si="433"/>
        <v>0</v>
      </c>
      <c r="C213" s="152">
        <f t="shared" si="434"/>
        <v>0</v>
      </c>
      <c r="D213" s="153"/>
      <c r="E213" s="153"/>
      <c r="F213" s="154">
        <f t="shared" si="435"/>
        <v>0</v>
      </c>
      <c r="G213" s="155"/>
      <c r="H213" s="155"/>
      <c r="I213" s="155"/>
      <c r="J213" s="155"/>
      <c r="K213" s="155"/>
      <c r="L213" s="155"/>
      <c r="M213" s="155"/>
      <c r="N213" s="156"/>
      <c r="O213" s="155"/>
      <c r="P213" s="63"/>
    </row>
    <row r="214" spans="1:16" ht="30" customHeight="1" x14ac:dyDescent="0.35">
      <c r="A214" s="158" t="s">
        <v>669</v>
      </c>
      <c r="B214" s="151">
        <f t="shared" si="433"/>
        <v>60</v>
      </c>
      <c r="C214" s="152">
        <f t="shared" si="434"/>
        <v>0</v>
      </c>
      <c r="D214" s="153">
        <f t="shared" ref="D214" si="443">+D215</f>
        <v>0</v>
      </c>
      <c r="E214" s="153">
        <f t="shared" ref="E214" si="444">+E215</f>
        <v>0</v>
      </c>
      <c r="F214" s="154">
        <f t="shared" si="435"/>
        <v>60</v>
      </c>
      <c r="G214" s="155">
        <f t="shared" ref="G214" si="445">+G215</f>
        <v>0</v>
      </c>
      <c r="H214" s="155">
        <f>60+H215</f>
        <v>60</v>
      </c>
      <c r="I214" s="155">
        <f t="shared" ref="I214" si="446">+I215</f>
        <v>0</v>
      </c>
      <c r="J214" s="155">
        <f t="shared" si="335"/>
        <v>0</v>
      </c>
      <c r="K214" s="155">
        <f t="shared" ref="K214" si="447">+K215</f>
        <v>0</v>
      </c>
      <c r="L214" s="155">
        <f t="shared" ref="L214" si="448">+L215</f>
        <v>0</v>
      </c>
      <c r="M214" s="155">
        <f t="shared" ref="M214" si="449">+M215</f>
        <v>0</v>
      </c>
      <c r="N214" s="156">
        <f>+N215</f>
        <v>0</v>
      </c>
      <c r="O214" s="153">
        <f>+O215</f>
        <v>0</v>
      </c>
      <c r="P214" s="63">
        <f>+P215</f>
        <v>0</v>
      </c>
    </row>
    <row r="215" spans="1:16" ht="15" customHeight="1" x14ac:dyDescent="0.35">
      <c r="A215" s="157" t="s">
        <v>724</v>
      </c>
      <c r="B215" s="151">
        <f t="shared" si="433"/>
        <v>0</v>
      </c>
      <c r="C215" s="152">
        <f t="shared" si="434"/>
        <v>0</v>
      </c>
      <c r="D215" s="153"/>
      <c r="E215" s="153"/>
      <c r="F215" s="154">
        <f t="shared" si="435"/>
        <v>0</v>
      </c>
      <c r="G215" s="155"/>
      <c r="H215" s="155"/>
      <c r="I215" s="155"/>
      <c r="J215" s="155"/>
      <c r="K215" s="155"/>
      <c r="L215" s="155"/>
      <c r="M215" s="155"/>
      <c r="N215" s="156"/>
      <c r="O215" s="155"/>
      <c r="P215" s="63"/>
    </row>
    <row r="216" spans="1:16" ht="30" customHeight="1" x14ac:dyDescent="0.35">
      <c r="A216" s="158" t="s">
        <v>678</v>
      </c>
      <c r="B216" s="151">
        <f t="shared" si="433"/>
        <v>191</v>
      </c>
      <c r="C216" s="152">
        <f t="shared" si="434"/>
        <v>0</v>
      </c>
      <c r="D216" s="153">
        <f t="shared" ref="D216" si="450">+D217</f>
        <v>0</v>
      </c>
      <c r="E216" s="153">
        <f t="shared" ref="E216" si="451">+E217</f>
        <v>0</v>
      </c>
      <c r="F216" s="154">
        <f t="shared" si="435"/>
        <v>191</v>
      </c>
      <c r="G216" s="155">
        <f t="shared" ref="G216" si="452">+G217</f>
        <v>0</v>
      </c>
      <c r="H216" s="155">
        <f>191+H217</f>
        <v>191</v>
      </c>
      <c r="I216" s="155">
        <f t="shared" ref="I216" si="453">+I217</f>
        <v>0</v>
      </c>
      <c r="J216" s="155">
        <f t="shared" si="335"/>
        <v>0</v>
      </c>
      <c r="K216" s="155">
        <f t="shared" ref="K216" si="454">+K217</f>
        <v>0</v>
      </c>
      <c r="L216" s="155">
        <f t="shared" ref="L216" si="455">+L217</f>
        <v>0</v>
      </c>
      <c r="M216" s="155">
        <f t="shared" ref="M216" si="456">+M217</f>
        <v>0</v>
      </c>
      <c r="N216" s="156">
        <f>+N217</f>
        <v>0</v>
      </c>
      <c r="O216" s="153">
        <f>+O217</f>
        <v>0</v>
      </c>
      <c r="P216" s="63">
        <f>+P217</f>
        <v>0</v>
      </c>
    </row>
    <row r="217" spans="1:16" ht="15" customHeight="1" x14ac:dyDescent="0.35">
      <c r="A217" s="157" t="s">
        <v>724</v>
      </c>
      <c r="B217" s="151">
        <f t="shared" si="433"/>
        <v>0</v>
      </c>
      <c r="C217" s="152">
        <f t="shared" si="434"/>
        <v>0</v>
      </c>
      <c r="D217" s="153"/>
      <c r="E217" s="153"/>
      <c r="F217" s="154">
        <f t="shared" si="435"/>
        <v>0</v>
      </c>
      <c r="G217" s="155"/>
      <c r="H217" s="155"/>
      <c r="I217" s="155"/>
      <c r="J217" s="155"/>
      <c r="K217" s="155"/>
      <c r="L217" s="155"/>
      <c r="M217" s="155"/>
      <c r="N217" s="156"/>
      <c r="O217" s="155"/>
      <c r="P217" s="63"/>
    </row>
    <row r="218" spans="1:16" ht="30" customHeight="1" x14ac:dyDescent="0.35">
      <c r="A218" s="158" t="s">
        <v>673</v>
      </c>
      <c r="B218" s="151">
        <f t="shared" si="433"/>
        <v>1775</v>
      </c>
      <c r="C218" s="152">
        <f t="shared" si="434"/>
        <v>0</v>
      </c>
      <c r="D218" s="153">
        <f t="shared" ref="D218" si="457">+D219</f>
        <v>0</v>
      </c>
      <c r="E218" s="153">
        <f t="shared" ref="E218" si="458">+E219</f>
        <v>0</v>
      </c>
      <c r="F218" s="154">
        <f t="shared" si="435"/>
        <v>1775</v>
      </c>
      <c r="G218" s="155">
        <f t="shared" ref="G218" si="459">+G219</f>
        <v>0</v>
      </c>
      <c r="H218" s="155">
        <f>1775+H219</f>
        <v>1775</v>
      </c>
      <c r="I218" s="155">
        <f t="shared" ref="I218" si="460">+I219</f>
        <v>0</v>
      </c>
      <c r="J218" s="155">
        <f t="shared" si="335"/>
        <v>0</v>
      </c>
      <c r="K218" s="155">
        <f t="shared" ref="K218" si="461">+K219</f>
        <v>0</v>
      </c>
      <c r="L218" s="155">
        <f t="shared" ref="L218" si="462">+L219</f>
        <v>0</v>
      </c>
      <c r="M218" s="155">
        <f t="shared" ref="M218" si="463">+M219</f>
        <v>0</v>
      </c>
      <c r="N218" s="156">
        <f>+N219</f>
        <v>0</v>
      </c>
      <c r="O218" s="153">
        <f>+O219</f>
        <v>0</v>
      </c>
      <c r="P218" s="63">
        <f>+P219</f>
        <v>0</v>
      </c>
    </row>
    <row r="219" spans="1:16" ht="15" customHeight="1" x14ac:dyDescent="0.35">
      <c r="A219" s="157" t="s">
        <v>724</v>
      </c>
      <c r="B219" s="151">
        <f t="shared" si="433"/>
        <v>0</v>
      </c>
      <c r="C219" s="152">
        <f t="shared" si="434"/>
        <v>0</v>
      </c>
      <c r="D219" s="153"/>
      <c r="E219" s="153"/>
      <c r="F219" s="154">
        <f t="shared" si="435"/>
        <v>0</v>
      </c>
      <c r="G219" s="155"/>
      <c r="H219" s="155"/>
      <c r="I219" s="155"/>
      <c r="J219" s="155"/>
      <c r="K219" s="155"/>
      <c r="L219" s="155"/>
      <c r="M219" s="155"/>
      <c r="N219" s="156"/>
      <c r="O219" s="155"/>
      <c r="P219" s="63"/>
    </row>
    <row r="220" spans="1:16" ht="30" customHeight="1" x14ac:dyDescent="0.35">
      <c r="A220" s="158" t="s">
        <v>677</v>
      </c>
      <c r="B220" s="151">
        <f t="shared" si="433"/>
        <v>450</v>
      </c>
      <c r="C220" s="152">
        <f t="shared" si="434"/>
        <v>0</v>
      </c>
      <c r="D220" s="153">
        <f t="shared" ref="D220" si="464">+D221</f>
        <v>0</v>
      </c>
      <c r="E220" s="153">
        <f t="shared" ref="E220" si="465">+E221</f>
        <v>0</v>
      </c>
      <c r="F220" s="154">
        <f t="shared" si="435"/>
        <v>450</v>
      </c>
      <c r="G220" s="155">
        <f t="shared" ref="G220" si="466">+G221</f>
        <v>0</v>
      </c>
      <c r="H220" s="155">
        <f>450+H221</f>
        <v>450</v>
      </c>
      <c r="I220" s="155">
        <f t="shared" ref="I220" si="467">+I221</f>
        <v>0</v>
      </c>
      <c r="J220" s="155">
        <f t="shared" si="335"/>
        <v>0</v>
      </c>
      <c r="K220" s="155">
        <f t="shared" ref="K220" si="468">+K221</f>
        <v>0</v>
      </c>
      <c r="L220" s="155">
        <f t="shared" ref="L220" si="469">+L221</f>
        <v>0</v>
      </c>
      <c r="M220" s="155">
        <f t="shared" ref="M220" si="470">+M221</f>
        <v>0</v>
      </c>
      <c r="N220" s="156">
        <f>+N221</f>
        <v>0</v>
      </c>
      <c r="O220" s="153">
        <f>+O221</f>
        <v>0</v>
      </c>
      <c r="P220" s="63">
        <f>+P221</f>
        <v>0</v>
      </c>
    </row>
    <row r="221" spans="1:16" ht="15" customHeight="1" x14ac:dyDescent="0.35">
      <c r="A221" s="157" t="s">
        <v>724</v>
      </c>
      <c r="B221" s="151">
        <f t="shared" si="433"/>
        <v>0</v>
      </c>
      <c r="C221" s="152">
        <f t="shared" si="434"/>
        <v>0</v>
      </c>
      <c r="D221" s="153"/>
      <c r="E221" s="153"/>
      <c r="F221" s="154">
        <f t="shared" si="435"/>
        <v>0</v>
      </c>
      <c r="G221" s="155"/>
      <c r="H221" s="155"/>
      <c r="I221" s="155"/>
      <c r="J221" s="155"/>
      <c r="K221" s="155"/>
      <c r="L221" s="155"/>
      <c r="M221" s="155"/>
      <c r="N221" s="156"/>
      <c r="O221" s="155"/>
      <c r="P221" s="63"/>
    </row>
    <row r="222" spans="1:16" ht="30" customHeight="1" x14ac:dyDescent="0.35">
      <c r="A222" s="158" t="s">
        <v>670</v>
      </c>
      <c r="B222" s="151">
        <f t="shared" si="433"/>
        <v>800</v>
      </c>
      <c r="C222" s="152">
        <f t="shared" si="434"/>
        <v>0</v>
      </c>
      <c r="D222" s="153">
        <f t="shared" ref="D222" si="471">+D223</f>
        <v>0</v>
      </c>
      <c r="E222" s="153">
        <f t="shared" ref="E222" si="472">+E223</f>
        <v>0</v>
      </c>
      <c r="F222" s="154">
        <f t="shared" si="435"/>
        <v>800</v>
      </c>
      <c r="G222" s="155">
        <f t="shared" ref="G222" si="473">+G223</f>
        <v>0</v>
      </c>
      <c r="H222" s="155">
        <f>800+H223</f>
        <v>800</v>
      </c>
      <c r="I222" s="155">
        <f t="shared" ref="I222" si="474">+I223</f>
        <v>0</v>
      </c>
      <c r="J222" s="155">
        <f t="shared" si="335"/>
        <v>0</v>
      </c>
      <c r="K222" s="155">
        <f t="shared" ref="K222" si="475">+K223</f>
        <v>0</v>
      </c>
      <c r="L222" s="155">
        <f t="shared" ref="L222" si="476">+L223</f>
        <v>0</v>
      </c>
      <c r="M222" s="155">
        <f t="shared" ref="M222" si="477">+M223</f>
        <v>0</v>
      </c>
      <c r="N222" s="156">
        <f>+N223</f>
        <v>0</v>
      </c>
      <c r="O222" s="153">
        <f>+O223</f>
        <v>0</v>
      </c>
      <c r="P222" s="63">
        <f>+P223</f>
        <v>0</v>
      </c>
    </row>
    <row r="223" spans="1:16" ht="15" customHeight="1" x14ac:dyDescent="0.35">
      <c r="A223" s="157" t="s">
        <v>724</v>
      </c>
      <c r="B223" s="151">
        <f t="shared" si="433"/>
        <v>0</v>
      </c>
      <c r="C223" s="152">
        <f t="shared" si="434"/>
        <v>0</v>
      </c>
      <c r="D223" s="153"/>
      <c r="E223" s="153"/>
      <c r="F223" s="154">
        <f t="shared" si="435"/>
        <v>0</v>
      </c>
      <c r="G223" s="155"/>
      <c r="H223" s="155"/>
      <c r="I223" s="155"/>
      <c r="J223" s="155"/>
      <c r="K223" s="155"/>
      <c r="L223" s="155"/>
      <c r="M223" s="155"/>
      <c r="N223" s="156"/>
      <c r="O223" s="155"/>
      <c r="P223" s="63"/>
    </row>
    <row r="224" spans="1:16" ht="30" customHeight="1" x14ac:dyDescent="0.35">
      <c r="A224" s="158" t="s">
        <v>675</v>
      </c>
      <c r="B224" s="151">
        <f t="shared" si="433"/>
        <v>1895</v>
      </c>
      <c r="C224" s="152">
        <f t="shared" si="434"/>
        <v>0</v>
      </c>
      <c r="D224" s="153">
        <f t="shared" ref="D224" si="478">+D225</f>
        <v>0</v>
      </c>
      <c r="E224" s="153">
        <f t="shared" ref="E224" si="479">+E225</f>
        <v>0</v>
      </c>
      <c r="F224" s="154">
        <f t="shared" si="435"/>
        <v>1895</v>
      </c>
      <c r="G224" s="155">
        <f t="shared" ref="G224" si="480">+G225</f>
        <v>0</v>
      </c>
      <c r="H224" s="155">
        <f>1895+H225</f>
        <v>1895</v>
      </c>
      <c r="I224" s="155">
        <f t="shared" ref="I224" si="481">+I225</f>
        <v>0</v>
      </c>
      <c r="J224" s="155">
        <f t="shared" si="335"/>
        <v>0</v>
      </c>
      <c r="K224" s="155">
        <f t="shared" ref="K224" si="482">+K225</f>
        <v>0</v>
      </c>
      <c r="L224" s="155">
        <f t="shared" ref="L224" si="483">+L225</f>
        <v>0</v>
      </c>
      <c r="M224" s="155">
        <f t="shared" ref="M224" si="484">+M225</f>
        <v>0</v>
      </c>
      <c r="N224" s="156">
        <f>+N225</f>
        <v>0</v>
      </c>
      <c r="O224" s="153">
        <f>+O225</f>
        <v>0</v>
      </c>
      <c r="P224" s="63">
        <f>+P225</f>
        <v>0</v>
      </c>
    </row>
    <row r="225" spans="1:16" ht="15" customHeight="1" x14ac:dyDescent="0.35">
      <c r="A225" s="157" t="s">
        <v>724</v>
      </c>
      <c r="B225" s="151">
        <f t="shared" si="433"/>
        <v>0</v>
      </c>
      <c r="C225" s="152">
        <f t="shared" si="434"/>
        <v>0</v>
      </c>
      <c r="D225" s="153"/>
      <c r="E225" s="153"/>
      <c r="F225" s="154">
        <f t="shared" si="435"/>
        <v>0</v>
      </c>
      <c r="G225" s="155"/>
      <c r="H225" s="155"/>
      <c r="I225" s="155"/>
      <c r="J225" s="155"/>
      <c r="K225" s="155"/>
      <c r="L225" s="155"/>
      <c r="M225" s="155"/>
      <c r="N225" s="156"/>
      <c r="O225" s="155"/>
      <c r="P225" s="63"/>
    </row>
    <row r="226" spans="1:16" ht="30" customHeight="1" x14ac:dyDescent="0.35">
      <c r="A226" s="158" t="s">
        <v>671</v>
      </c>
      <c r="B226" s="151">
        <f t="shared" si="433"/>
        <v>665</v>
      </c>
      <c r="C226" s="152">
        <f t="shared" si="434"/>
        <v>0</v>
      </c>
      <c r="D226" s="153">
        <f t="shared" ref="D226" si="485">+D227</f>
        <v>0</v>
      </c>
      <c r="E226" s="153">
        <f t="shared" ref="E226" si="486">+E227</f>
        <v>0</v>
      </c>
      <c r="F226" s="154">
        <f t="shared" si="435"/>
        <v>665</v>
      </c>
      <c r="G226" s="155">
        <f t="shared" ref="G226" si="487">+G227</f>
        <v>0</v>
      </c>
      <c r="H226" s="155">
        <f>665+H227</f>
        <v>665</v>
      </c>
      <c r="I226" s="155">
        <f t="shared" ref="I226" si="488">+I227</f>
        <v>0</v>
      </c>
      <c r="J226" s="155">
        <f t="shared" si="335"/>
        <v>0</v>
      </c>
      <c r="K226" s="155">
        <f t="shared" ref="K226" si="489">+K227</f>
        <v>0</v>
      </c>
      <c r="L226" s="155">
        <f t="shared" ref="L226" si="490">+L227</f>
        <v>0</v>
      </c>
      <c r="M226" s="155">
        <f t="shared" ref="M226" si="491">+M227</f>
        <v>0</v>
      </c>
      <c r="N226" s="156">
        <f>+N227</f>
        <v>0</v>
      </c>
      <c r="O226" s="153">
        <f>+O227</f>
        <v>0</v>
      </c>
      <c r="P226" s="63">
        <f>+P227</f>
        <v>0</v>
      </c>
    </row>
    <row r="227" spans="1:16" ht="15" customHeight="1" x14ac:dyDescent="0.35">
      <c r="A227" s="157" t="s">
        <v>724</v>
      </c>
      <c r="B227" s="151">
        <f t="shared" si="433"/>
        <v>0</v>
      </c>
      <c r="C227" s="152">
        <f t="shared" si="434"/>
        <v>0</v>
      </c>
      <c r="D227" s="153"/>
      <c r="E227" s="153"/>
      <c r="F227" s="154">
        <f t="shared" si="435"/>
        <v>0</v>
      </c>
      <c r="G227" s="155"/>
      <c r="H227" s="155"/>
      <c r="I227" s="155"/>
      <c r="J227" s="155"/>
      <c r="K227" s="155"/>
      <c r="L227" s="155"/>
      <c r="M227" s="155"/>
      <c r="N227" s="156"/>
      <c r="O227" s="155"/>
      <c r="P227" s="63"/>
    </row>
    <row r="228" spans="1:16" ht="30" customHeight="1" x14ac:dyDescent="0.35">
      <c r="A228" s="158" t="s">
        <v>652</v>
      </c>
      <c r="B228" s="151">
        <f t="shared" si="433"/>
        <v>5000</v>
      </c>
      <c r="C228" s="152">
        <f t="shared" si="434"/>
        <v>0</v>
      </c>
      <c r="D228" s="153">
        <f t="shared" ref="D228" si="492">+D229</f>
        <v>0</v>
      </c>
      <c r="E228" s="153">
        <f t="shared" ref="E228" si="493">+E229</f>
        <v>0</v>
      </c>
      <c r="F228" s="154">
        <f t="shared" si="435"/>
        <v>5000</v>
      </c>
      <c r="G228" s="155">
        <f t="shared" ref="G228" si="494">+G229</f>
        <v>0</v>
      </c>
      <c r="H228" s="155">
        <f>5000+H229</f>
        <v>5000</v>
      </c>
      <c r="I228" s="155">
        <f t="shared" ref="I228" si="495">+I229</f>
        <v>0</v>
      </c>
      <c r="J228" s="155">
        <f t="shared" ref="J228:J290" si="496">+J229</f>
        <v>0</v>
      </c>
      <c r="K228" s="155">
        <f t="shared" ref="K228" si="497">+K229</f>
        <v>0</v>
      </c>
      <c r="L228" s="155">
        <f t="shared" ref="L228" si="498">+L229</f>
        <v>0</v>
      </c>
      <c r="M228" s="155">
        <f t="shared" ref="M228" si="499">+M229</f>
        <v>0</v>
      </c>
      <c r="N228" s="156">
        <f>+N229</f>
        <v>0</v>
      </c>
      <c r="O228" s="153">
        <f>+O229</f>
        <v>0</v>
      </c>
      <c r="P228" s="63">
        <f>+P229</f>
        <v>0</v>
      </c>
    </row>
    <row r="229" spans="1:16" ht="15" customHeight="1" x14ac:dyDescent="0.35">
      <c r="A229" s="157" t="s">
        <v>724</v>
      </c>
      <c r="B229" s="151">
        <f t="shared" si="433"/>
        <v>0</v>
      </c>
      <c r="C229" s="152">
        <f t="shared" si="434"/>
        <v>0</v>
      </c>
      <c r="D229" s="153"/>
      <c r="E229" s="153"/>
      <c r="F229" s="154">
        <f t="shared" si="435"/>
        <v>0</v>
      </c>
      <c r="G229" s="155"/>
      <c r="H229" s="155"/>
      <c r="I229" s="155"/>
      <c r="J229" s="155"/>
      <c r="K229" s="155"/>
      <c r="L229" s="155"/>
      <c r="M229" s="155"/>
      <c r="N229" s="156"/>
      <c r="O229" s="155"/>
      <c r="P229" s="63"/>
    </row>
    <row r="230" spans="1:16" ht="30" customHeight="1" x14ac:dyDescent="0.35">
      <c r="A230" s="158" t="s">
        <v>676</v>
      </c>
      <c r="B230" s="151">
        <f t="shared" si="433"/>
        <v>5310</v>
      </c>
      <c r="C230" s="152">
        <f t="shared" si="434"/>
        <v>0</v>
      </c>
      <c r="D230" s="153">
        <f t="shared" ref="D230" si="500">+D231</f>
        <v>0</v>
      </c>
      <c r="E230" s="153">
        <f t="shared" ref="E230" si="501">+E231</f>
        <v>0</v>
      </c>
      <c r="F230" s="154">
        <f t="shared" si="435"/>
        <v>5310</v>
      </c>
      <c r="G230" s="155">
        <f t="shared" ref="G230" si="502">+G231</f>
        <v>0</v>
      </c>
      <c r="H230" s="155">
        <f>5310+H231</f>
        <v>5310</v>
      </c>
      <c r="I230" s="155">
        <f t="shared" ref="I230" si="503">+I231</f>
        <v>0</v>
      </c>
      <c r="J230" s="155">
        <f t="shared" si="496"/>
        <v>0</v>
      </c>
      <c r="K230" s="155">
        <f t="shared" ref="K230" si="504">+K231</f>
        <v>0</v>
      </c>
      <c r="L230" s="155">
        <f t="shared" ref="L230" si="505">+L231</f>
        <v>0</v>
      </c>
      <c r="M230" s="155">
        <f t="shared" ref="M230" si="506">+M231</f>
        <v>0</v>
      </c>
      <c r="N230" s="156">
        <f>+N231</f>
        <v>0</v>
      </c>
      <c r="O230" s="153">
        <f>+O231</f>
        <v>0</v>
      </c>
      <c r="P230" s="63">
        <f>+P231</f>
        <v>0</v>
      </c>
    </row>
    <row r="231" spans="1:16" ht="15" customHeight="1" x14ac:dyDescent="0.35">
      <c r="A231" s="157" t="s">
        <v>724</v>
      </c>
      <c r="B231" s="151">
        <f t="shared" si="433"/>
        <v>0</v>
      </c>
      <c r="C231" s="152">
        <f t="shared" si="434"/>
        <v>0</v>
      </c>
      <c r="D231" s="153"/>
      <c r="E231" s="153"/>
      <c r="F231" s="154">
        <f t="shared" si="435"/>
        <v>0</v>
      </c>
      <c r="G231" s="155"/>
      <c r="H231" s="155"/>
      <c r="I231" s="155"/>
      <c r="J231" s="155"/>
      <c r="K231" s="155"/>
      <c r="L231" s="155"/>
      <c r="M231" s="155"/>
      <c r="N231" s="156"/>
      <c r="O231" s="155"/>
      <c r="P231" s="63"/>
    </row>
    <row r="232" spans="1:16" ht="27.75" customHeight="1" x14ac:dyDescent="0.35">
      <c r="A232" s="158" t="s">
        <v>550</v>
      </c>
      <c r="B232" s="151">
        <f t="shared" si="433"/>
        <v>487701</v>
      </c>
      <c r="C232" s="152">
        <f t="shared" si="434"/>
        <v>356773</v>
      </c>
      <c r="D232" s="153">
        <f>285842+D233</f>
        <v>285842</v>
      </c>
      <c r="E232" s="153">
        <f>70931+E233</f>
        <v>70931</v>
      </c>
      <c r="F232" s="154">
        <f t="shared" si="435"/>
        <v>130928</v>
      </c>
      <c r="G232" s="155">
        <f>25+G233</f>
        <v>25</v>
      </c>
      <c r="H232" s="155">
        <f>66749+H233</f>
        <v>66749</v>
      </c>
      <c r="I232" s="155">
        <f>63986+I233</f>
        <v>63986</v>
      </c>
      <c r="J232" s="155">
        <f t="shared" si="496"/>
        <v>0</v>
      </c>
      <c r="K232" s="155">
        <f>168+K233</f>
        <v>168</v>
      </c>
      <c r="L232" s="155">
        <f t="shared" ref="L232" si="507">+L233</f>
        <v>0</v>
      </c>
      <c r="M232" s="155">
        <f t="shared" ref="M232" si="508">+M233</f>
        <v>0</v>
      </c>
      <c r="N232" s="156">
        <f>+N233</f>
        <v>0</v>
      </c>
      <c r="O232" s="153">
        <f>+O233</f>
        <v>0</v>
      </c>
      <c r="P232" s="63">
        <f>+P233</f>
        <v>0</v>
      </c>
    </row>
    <row r="233" spans="1:16" ht="15" customHeight="1" x14ac:dyDescent="0.35">
      <c r="A233" s="157" t="s">
        <v>724</v>
      </c>
      <c r="B233" s="151">
        <f t="shared" si="433"/>
        <v>0</v>
      </c>
      <c r="C233" s="152">
        <f t="shared" si="434"/>
        <v>0</v>
      </c>
      <c r="D233" s="153"/>
      <c r="E233" s="153"/>
      <c r="F233" s="154">
        <f t="shared" si="435"/>
        <v>0</v>
      </c>
      <c r="G233" s="155"/>
      <c r="H233" s="155"/>
      <c r="I233" s="155"/>
      <c r="J233" s="155"/>
      <c r="K233" s="155"/>
      <c r="L233" s="155"/>
      <c r="M233" s="155"/>
      <c r="N233" s="156"/>
      <c r="O233" s="155"/>
      <c r="P233" s="63"/>
    </row>
    <row r="234" spans="1:16" ht="30" customHeight="1" x14ac:dyDescent="0.35">
      <c r="A234" s="158" t="s">
        <v>784</v>
      </c>
      <c r="B234" s="151">
        <f t="shared" si="433"/>
        <v>64916</v>
      </c>
      <c r="C234" s="152">
        <f t="shared" si="434"/>
        <v>40056</v>
      </c>
      <c r="D234" s="153">
        <f>32410+D235</f>
        <v>32410</v>
      </c>
      <c r="E234" s="153">
        <f>7646+E235</f>
        <v>7646</v>
      </c>
      <c r="F234" s="154">
        <f t="shared" si="435"/>
        <v>24860</v>
      </c>
      <c r="G234" s="155">
        <f>+G235</f>
        <v>0</v>
      </c>
      <c r="H234" s="155">
        <f>1710+H235</f>
        <v>1710</v>
      </c>
      <c r="I234" s="155">
        <f>23150+I235</f>
        <v>23150</v>
      </c>
      <c r="J234" s="155">
        <f t="shared" si="496"/>
        <v>0</v>
      </c>
      <c r="K234" s="155">
        <f>+K235</f>
        <v>0</v>
      </c>
      <c r="L234" s="155">
        <f t="shared" ref="L234" si="509">+L235</f>
        <v>0</v>
      </c>
      <c r="M234" s="155">
        <f t="shared" ref="M234" si="510">+M235</f>
        <v>0</v>
      </c>
      <c r="N234" s="156">
        <f>+N235</f>
        <v>0</v>
      </c>
      <c r="O234" s="153">
        <f>+O235</f>
        <v>0</v>
      </c>
      <c r="P234" s="63">
        <f>+P235</f>
        <v>0</v>
      </c>
    </row>
    <row r="235" spans="1:16" ht="15" customHeight="1" x14ac:dyDescent="0.35">
      <c r="A235" s="157" t="s">
        <v>724</v>
      </c>
      <c r="B235" s="151">
        <f t="shared" si="433"/>
        <v>0</v>
      </c>
      <c r="C235" s="152">
        <f t="shared" si="434"/>
        <v>0</v>
      </c>
      <c r="D235" s="153"/>
      <c r="E235" s="153"/>
      <c r="F235" s="154">
        <f t="shared" si="435"/>
        <v>0</v>
      </c>
      <c r="G235" s="155"/>
      <c r="H235" s="155"/>
      <c r="I235" s="155"/>
      <c r="J235" s="155"/>
      <c r="K235" s="155"/>
      <c r="L235" s="155"/>
      <c r="M235" s="155"/>
      <c r="N235" s="156"/>
      <c r="O235" s="155"/>
      <c r="P235" s="63"/>
    </row>
    <row r="236" spans="1:16" ht="30" customHeight="1" x14ac:dyDescent="0.35">
      <c r="A236" s="150" t="s">
        <v>783</v>
      </c>
      <c r="B236" s="151">
        <f t="shared" si="433"/>
        <v>111409</v>
      </c>
      <c r="C236" s="152">
        <f t="shared" si="434"/>
        <v>33715</v>
      </c>
      <c r="D236" s="153">
        <f>27280+D237</f>
        <v>27280</v>
      </c>
      <c r="E236" s="153">
        <f>6435+E237</f>
        <v>6435</v>
      </c>
      <c r="F236" s="154">
        <f t="shared" si="435"/>
        <v>77694</v>
      </c>
      <c r="G236" s="155">
        <f t="shared" ref="G236" si="511">+G237</f>
        <v>0</v>
      </c>
      <c r="H236" s="155">
        <f>7700+H237</f>
        <v>7700</v>
      </c>
      <c r="I236" s="155">
        <f>69194+I237</f>
        <v>69194</v>
      </c>
      <c r="J236" s="155">
        <f t="shared" si="496"/>
        <v>0</v>
      </c>
      <c r="K236" s="155">
        <f>800+K237</f>
        <v>800</v>
      </c>
      <c r="L236" s="155">
        <f t="shared" ref="L236" si="512">+L237</f>
        <v>0</v>
      </c>
      <c r="M236" s="155">
        <f t="shared" ref="M236" si="513">+M237</f>
        <v>0</v>
      </c>
      <c r="N236" s="156">
        <f>+N237</f>
        <v>0</v>
      </c>
      <c r="O236" s="153">
        <f>+O237</f>
        <v>0</v>
      </c>
      <c r="P236" s="63">
        <f>+P237</f>
        <v>0</v>
      </c>
    </row>
    <row r="237" spans="1:16" ht="15" customHeight="1" x14ac:dyDescent="0.35">
      <c r="A237" s="157" t="s">
        <v>724</v>
      </c>
      <c r="B237" s="151">
        <f t="shared" si="433"/>
        <v>0</v>
      </c>
      <c r="C237" s="152">
        <f t="shared" si="434"/>
        <v>0</v>
      </c>
      <c r="D237" s="153"/>
      <c r="E237" s="153"/>
      <c r="F237" s="154">
        <f t="shared" si="435"/>
        <v>0</v>
      </c>
      <c r="G237" s="155"/>
      <c r="H237" s="155"/>
      <c r="I237" s="155"/>
      <c r="J237" s="155"/>
      <c r="K237" s="155"/>
      <c r="L237" s="155"/>
      <c r="M237" s="155"/>
      <c r="N237" s="156"/>
      <c r="O237" s="155"/>
      <c r="P237" s="63"/>
    </row>
    <row r="238" spans="1:16" ht="30" customHeight="1" x14ac:dyDescent="0.35">
      <c r="A238" s="150" t="s">
        <v>806</v>
      </c>
      <c r="B238" s="151">
        <f t="shared" si="433"/>
        <v>46607</v>
      </c>
      <c r="C238" s="152">
        <f t="shared" si="434"/>
        <v>38611</v>
      </c>
      <c r="D238" s="153">
        <f>31241+D239</f>
        <v>31241</v>
      </c>
      <c r="E238" s="153">
        <f>7370+E239</f>
        <v>7370</v>
      </c>
      <c r="F238" s="154">
        <f t="shared" si="435"/>
        <v>7996</v>
      </c>
      <c r="G238" s="155">
        <f t="shared" ref="G238" si="514">+G239</f>
        <v>0</v>
      </c>
      <c r="H238" s="155">
        <f>+H239</f>
        <v>1450</v>
      </c>
      <c r="I238" s="155">
        <f>8010+I239</f>
        <v>6246</v>
      </c>
      <c r="J238" s="155">
        <f t="shared" si="496"/>
        <v>0</v>
      </c>
      <c r="K238" s="155">
        <f>300+K239</f>
        <v>300</v>
      </c>
      <c r="L238" s="155">
        <f t="shared" ref="L238" si="515">+L239</f>
        <v>0</v>
      </c>
      <c r="M238" s="155">
        <f t="shared" ref="M238" si="516">+M239</f>
        <v>0</v>
      </c>
      <c r="N238" s="156">
        <f>+N239</f>
        <v>0</v>
      </c>
      <c r="O238" s="153">
        <f>+O239</f>
        <v>0</v>
      </c>
      <c r="P238" s="63">
        <f>+P239</f>
        <v>0</v>
      </c>
    </row>
    <row r="239" spans="1:16" ht="15" customHeight="1" x14ac:dyDescent="0.35">
      <c r="A239" s="157" t="s">
        <v>724</v>
      </c>
      <c r="B239" s="151">
        <f t="shared" si="433"/>
        <v>-314</v>
      </c>
      <c r="C239" s="152">
        <f t="shared" si="434"/>
        <v>0</v>
      </c>
      <c r="D239" s="153"/>
      <c r="E239" s="153"/>
      <c r="F239" s="154">
        <f t="shared" si="435"/>
        <v>-314</v>
      </c>
      <c r="G239" s="155"/>
      <c r="H239" s="155">
        <v>1450</v>
      </c>
      <c r="I239" s="155">
        <v>-1764</v>
      </c>
      <c r="J239" s="155"/>
      <c r="K239" s="155"/>
      <c r="L239" s="155"/>
      <c r="M239" s="155"/>
      <c r="N239" s="156"/>
      <c r="O239" s="155"/>
      <c r="P239" s="63"/>
    </row>
    <row r="240" spans="1:16" ht="30" customHeight="1" x14ac:dyDescent="0.35">
      <c r="A240" s="150" t="s">
        <v>807</v>
      </c>
      <c r="B240" s="151">
        <f t="shared" si="433"/>
        <v>77191</v>
      </c>
      <c r="C240" s="152">
        <f t="shared" si="434"/>
        <v>51421</v>
      </c>
      <c r="D240" s="153">
        <f>41606+D241</f>
        <v>41606</v>
      </c>
      <c r="E240" s="153">
        <f>9815+E241</f>
        <v>9815</v>
      </c>
      <c r="F240" s="154">
        <f t="shared" si="435"/>
        <v>25770</v>
      </c>
      <c r="G240" s="155">
        <f t="shared" ref="G240" si="517">+G241</f>
        <v>0</v>
      </c>
      <c r="H240" s="155">
        <f>6760+H241</f>
        <v>6260</v>
      </c>
      <c r="I240" s="155">
        <f>18380+I241</f>
        <v>18880</v>
      </c>
      <c r="J240" s="155">
        <f t="shared" si="496"/>
        <v>0</v>
      </c>
      <c r="K240" s="155">
        <f>630+K241</f>
        <v>630</v>
      </c>
      <c r="L240" s="155">
        <f t="shared" ref="L240" si="518">+L241</f>
        <v>0</v>
      </c>
      <c r="M240" s="155">
        <f t="shared" ref="M240" si="519">+M241</f>
        <v>0</v>
      </c>
      <c r="N240" s="156">
        <f>+N241</f>
        <v>0</v>
      </c>
      <c r="O240" s="153">
        <f>+O241</f>
        <v>0</v>
      </c>
      <c r="P240" s="63">
        <f>+P241</f>
        <v>0</v>
      </c>
    </row>
    <row r="241" spans="1:16" ht="15" customHeight="1" x14ac:dyDescent="0.35">
      <c r="A241" s="157" t="s">
        <v>724</v>
      </c>
      <c r="B241" s="151">
        <f t="shared" si="433"/>
        <v>0</v>
      </c>
      <c r="C241" s="152">
        <f t="shared" si="434"/>
        <v>0</v>
      </c>
      <c r="D241" s="153"/>
      <c r="E241" s="153"/>
      <c r="F241" s="154">
        <f t="shared" si="435"/>
        <v>0</v>
      </c>
      <c r="G241" s="155"/>
      <c r="H241" s="155">
        <v>-500</v>
      </c>
      <c r="I241" s="155">
        <v>500</v>
      </c>
      <c r="J241" s="155"/>
      <c r="K241" s="155"/>
      <c r="L241" s="155"/>
      <c r="M241" s="155"/>
      <c r="N241" s="156"/>
      <c r="O241" s="155"/>
      <c r="P241" s="63"/>
    </row>
    <row r="242" spans="1:16" ht="30" customHeight="1" x14ac:dyDescent="0.35">
      <c r="A242" s="150" t="s">
        <v>808</v>
      </c>
      <c r="B242" s="151">
        <f t="shared" si="433"/>
        <v>33862</v>
      </c>
      <c r="C242" s="152">
        <f t="shared" si="434"/>
        <v>26424</v>
      </c>
      <c r="D242" s="153">
        <f>21380+D243</f>
        <v>21380</v>
      </c>
      <c r="E242" s="153">
        <f>5044+E243</f>
        <v>5044</v>
      </c>
      <c r="F242" s="154">
        <f t="shared" si="435"/>
        <v>7438</v>
      </c>
      <c r="G242" s="155">
        <f t="shared" ref="G242" si="520">+G243</f>
        <v>0</v>
      </c>
      <c r="H242" s="155">
        <f>1770+H243</f>
        <v>1770</v>
      </c>
      <c r="I242" s="155">
        <f>5418+I243</f>
        <v>5418</v>
      </c>
      <c r="J242" s="155">
        <f t="shared" si="496"/>
        <v>0</v>
      </c>
      <c r="K242" s="155">
        <f>250+K243</f>
        <v>250</v>
      </c>
      <c r="L242" s="155">
        <f t="shared" ref="L242" si="521">+L243</f>
        <v>0</v>
      </c>
      <c r="M242" s="155">
        <f t="shared" ref="M242" si="522">+M243</f>
        <v>0</v>
      </c>
      <c r="N242" s="156">
        <f>+N243</f>
        <v>0</v>
      </c>
      <c r="O242" s="153">
        <f>+O243</f>
        <v>0</v>
      </c>
      <c r="P242" s="63">
        <f>+P243</f>
        <v>0</v>
      </c>
    </row>
    <row r="243" spans="1:16" ht="15" customHeight="1" x14ac:dyDescent="0.35">
      <c r="A243" s="157" t="s">
        <v>724</v>
      </c>
      <c r="B243" s="151">
        <f t="shared" si="433"/>
        <v>0</v>
      </c>
      <c r="C243" s="152">
        <f t="shared" si="434"/>
        <v>0</v>
      </c>
      <c r="D243" s="153"/>
      <c r="E243" s="153"/>
      <c r="F243" s="154">
        <f t="shared" si="435"/>
        <v>0</v>
      </c>
      <c r="G243" s="155"/>
      <c r="H243" s="155"/>
      <c r="I243" s="155"/>
      <c r="J243" s="155"/>
      <c r="K243" s="155"/>
      <c r="L243" s="155"/>
      <c r="M243" s="155"/>
      <c r="N243" s="156"/>
      <c r="O243" s="155"/>
      <c r="P243" s="63"/>
    </row>
    <row r="244" spans="1:16" ht="38.25" customHeight="1" x14ac:dyDescent="0.35">
      <c r="A244" s="150" t="s">
        <v>786</v>
      </c>
      <c r="B244" s="151">
        <f t="shared" si="433"/>
        <v>95556</v>
      </c>
      <c r="C244" s="152">
        <f t="shared" si="434"/>
        <v>39245</v>
      </c>
      <c r="D244" s="153">
        <f>31754+D245</f>
        <v>31754</v>
      </c>
      <c r="E244" s="153">
        <f>7491+E245</f>
        <v>7491</v>
      </c>
      <c r="F244" s="154">
        <f t="shared" si="435"/>
        <v>56311</v>
      </c>
      <c r="G244" s="155">
        <f t="shared" ref="G244" si="523">+G245</f>
        <v>0</v>
      </c>
      <c r="H244" s="155">
        <f>4644+H245</f>
        <v>4644</v>
      </c>
      <c r="I244" s="155">
        <f>50780+I245</f>
        <v>50780</v>
      </c>
      <c r="J244" s="155">
        <f t="shared" si="496"/>
        <v>0</v>
      </c>
      <c r="K244" s="155">
        <f>887+K245</f>
        <v>887</v>
      </c>
      <c r="L244" s="155">
        <f t="shared" ref="L244" si="524">+L245</f>
        <v>0</v>
      </c>
      <c r="M244" s="155">
        <f t="shared" ref="M244" si="525">+M245</f>
        <v>0</v>
      </c>
      <c r="N244" s="156">
        <f>+N245</f>
        <v>0</v>
      </c>
      <c r="O244" s="153">
        <f>+O245</f>
        <v>0</v>
      </c>
      <c r="P244" s="63">
        <f>+P245</f>
        <v>0</v>
      </c>
    </row>
    <row r="245" spans="1:16" ht="15" customHeight="1" x14ac:dyDescent="0.35">
      <c r="A245" s="157" t="s">
        <v>724</v>
      </c>
      <c r="B245" s="151">
        <f t="shared" si="433"/>
        <v>0</v>
      </c>
      <c r="C245" s="152">
        <f t="shared" si="434"/>
        <v>0</v>
      </c>
      <c r="D245" s="153"/>
      <c r="E245" s="153"/>
      <c r="F245" s="154">
        <f t="shared" si="435"/>
        <v>0</v>
      </c>
      <c r="G245" s="155"/>
      <c r="H245" s="155"/>
      <c r="I245" s="155"/>
      <c r="J245" s="155"/>
      <c r="K245" s="155"/>
      <c r="L245" s="155"/>
      <c r="M245" s="155"/>
      <c r="N245" s="156"/>
      <c r="O245" s="155"/>
      <c r="P245" s="63"/>
    </row>
    <row r="246" spans="1:16" ht="35.25" customHeight="1" x14ac:dyDescent="0.35">
      <c r="A246" s="150" t="s">
        <v>787</v>
      </c>
      <c r="B246" s="151">
        <f t="shared" si="433"/>
        <v>100383</v>
      </c>
      <c r="C246" s="152">
        <f t="shared" si="434"/>
        <v>37660</v>
      </c>
      <c r="D246" s="153">
        <f>30472+D247</f>
        <v>30472</v>
      </c>
      <c r="E246" s="153">
        <f>7188+E247</f>
        <v>7188</v>
      </c>
      <c r="F246" s="154">
        <f t="shared" si="435"/>
        <v>62723</v>
      </c>
      <c r="G246" s="155">
        <f t="shared" ref="G246" si="526">+G247</f>
        <v>0</v>
      </c>
      <c r="H246" s="155">
        <f>8024+H247</f>
        <v>8024</v>
      </c>
      <c r="I246" s="155">
        <f>53399+I247</f>
        <v>53399</v>
      </c>
      <c r="J246" s="155">
        <f t="shared" si="496"/>
        <v>0</v>
      </c>
      <c r="K246" s="155">
        <f>1300+K247</f>
        <v>1300</v>
      </c>
      <c r="L246" s="155">
        <f t="shared" ref="L246" si="527">+L247</f>
        <v>0</v>
      </c>
      <c r="M246" s="155">
        <f t="shared" ref="M246" si="528">+M247</f>
        <v>0</v>
      </c>
      <c r="N246" s="156">
        <f>+N247</f>
        <v>0</v>
      </c>
      <c r="O246" s="153">
        <f>+O247</f>
        <v>0</v>
      </c>
      <c r="P246" s="63">
        <f>+P247</f>
        <v>0</v>
      </c>
    </row>
    <row r="247" spans="1:16" ht="15" customHeight="1" x14ac:dyDescent="0.35">
      <c r="A247" s="157" t="s">
        <v>724</v>
      </c>
      <c r="B247" s="151">
        <f t="shared" si="433"/>
        <v>0</v>
      </c>
      <c r="C247" s="152">
        <f t="shared" si="434"/>
        <v>0</v>
      </c>
      <c r="D247" s="153"/>
      <c r="E247" s="153"/>
      <c r="F247" s="154">
        <f t="shared" si="435"/>
        <v>0</v>
      </c>
      <c r="G247" s="155"/>
      <c r="H247" s="155"/>
      <c r="I247" s="155"/>
      <c r="J247" s="155"/>
      <c r="K247" s="155"/>
      <c r="L247" s="155"/>
      <c r="M247" s="155"/>
      <c r="N247" s="156"/>
      <c r="O247" s="155"/>
      <c r="P247" s="63"/>
    </row>
    <row r="248" spans="1:16" ht="24.75" customHeight="1" x14ac:dyDescent="0.35">
      <c r="A248" s="150" t="s">
        <v>128</v>
      </c>
      <c r="B248" s="151">
        <f t="shared" si="433"/>
        <v>3905</v>
      </c>
      <c r="C248" s="152">
        <f t="shared" si="434"/>
        <v>0</v>
      </c>
      <c r="D248" s="153">
        <f>+D249</f>
        <v>0</v>
      </c>
      <c r="E248" s="153">
        <f>+E249</f>
        <v>0</v>
      </c>
      <c r="F248" s="154">
        <f t="shared" si="435"/>
        <v>3905</v>
      </c>
      <c r="G248" s="155">
        <f t="shared" ref="G248" si="529">+G249</f>
        <v>0</v>
      </c>
      <c r="H248" s="155">
        <f>3060+H249</f>
        <v>3060</v>
      </c>
      <c r="I248" s="155">
        <f>640+I249</f>
        <v>640</v>
      </c>
      <c r="J248" s="155">
        <f t="shared" si="496"/>
        <v>0</v>
      </c>
      <c r="K248" s="155">
        <f>205+K249</f>
        <v>205</v>
      </c>
      <c r="L248" s="155">
        <f t="shared" ref="L248" si="530">+L249</f>
        <v>0</v>
      </c>
      <c r="M248" s="155">
        <f t="shared" ref="M248" si="531">+M249</f>
        <v>0</v>
      </c>
      <c r="N248" s="156">
        <f>+N249</f>
        <v>0</v>
      </c>
      <c r="O248" s="153">
        <f>+O249</f>
        <v>0</v>
      </c>
      <c r="P248" s="63">
        <f>+P249</f>
        <v>0</v>
      </c>
    </row>
    <row r="249" spans="1:16" ht="15" customHeight="1" x14ac:dyDescent="0.35">
      <c r="A249" s="157" t="s">
        <v>724</v>
      </c>
      <c r="B249" s="151">
        <f t="shared" si="433"/>
        <v>0</v>
      </c>
      <c r="C249" s="152">
        <f t="shared" si="434"/>
        <v>0</v>
      </c>
      <c r="D249" s="153"/>
      <c r="E249" s="153"/>
      <c r="F249" s="154">
        <f t="shared" si="435"/>
        <v>0</v>
      </c>
      <c r="G249" s="155"/>
      <c r="H249" s="155"/>
      <c r="I249" s="155"/>
      <c r="J249" s="155"/>
      <c r="K249" s="155"/>
      <c r="L249" s="155"/>
      <c r="M249" s="155"/>
      <c r="N249" s="156"/>
      <c r="O249" s="155"/>
      <c r="P249" s="63"/>
    </row>
    <row r="250" spans="1:16" ht="24.75" customHeight="1" x14ac:dyDescent="0.35">
      <c r="A250" s="150" t="s">
        <v>127</v>
      </c>
      <c r="B250" s="151">
        <f t="shared" si="433"/>
        <v>10242</v>
      </c>
      <c r="C250" s="152">
        <f t="shared" si="434"/>
        <v>0</v>
      </c>
      <c r="D250" s="153">
        <f t="shared" ref="D250" si="532">+D251</f>
        <v>0</v>
      </c>
      <c r="E250" s="153">
        <f t="shared" ref="E250" si="533">+E251</f>
        <v>0</v>
      </c>
      <c r="F250" s="154">
        <f t="shared" si="435"/>
        <v>10242</v>
      </c>
      <c r="G250" s="155">
        <f t="shared" ref="G250" si="534">+G251</f>
        <v>0</v>
      </c>
      <c r="H250" s="155">
        <f>7814+H251</f>
        <v>7814</v>
      </c>
      <c r="I250" s="155">
        <f>2274+I251</f>
        <v>2274</v>
      </c>
      <c r="J250" s="155">
        <f t="shared" si="496"/>
        <v>0</v>
      </c>
      <c r="K250" s="155">
        <f>154+K251</f>
        <v>154</v>
      </c>
      <c r="L250" s="155">
        <f t="shared" ref="L250" si="535">+L251</f>
        <v>0</v>
      </c>
      <c r="M250" s="155">
        <f t="shared" ref="M250" si="536">+M251</f>
        <v>0</v>
      </c>
      <c r="N250" s="156">
        <f>+N251</f>
        <v>0</v>
      </c>
      <c r="O250" s="153">
        <f>+O251</f>
        <v>0</v>
      </c>
      <c r="P250" s="63">
        <f>+P251</f>
        <v>0</v>
      </c>
    </row>
    <row r="251" spans="1:16" ht="15" customHeight="1" x14ac:dyDescent="0.35">
      <c r="A251" s="157" t="s">
        <v>724</v>
      </c>
      <c r="B251" s="151">
        <f t="shared" si="433"/>
        <v>0</v>
      </c>
      <c r="C251" s="152">
        <f t="shared" si="434"/>
        <v>0</v>
      </c>
      <c r="D251" s="153"/>
      <c r="E251" s="153"/>
      <c r="F251" s="154">
        <f t="shared" si="435"/>
        <v>0</v>
      </c>
      <c r="G251" s="155"/>
      <c r="H251" s="155"/>
      <c r="I251" s="155"/>
      <c r="J251" s="155"/>
      <c r="K251" s="155"/>
      <c r="L251" s="155"/>
      <c r="M251" s="155"/>
      <c r="N251" s="156"/>
      <c r="O251" s="155"/>
      <c r="P251" s="63"/>
    </row>
    <row r="252" spans="1:16" ht="27.75" customHeight="1" x14ac:dyDescent="0.35">
      <c r="A252" s="150" t="s">
        <v>572</v>
      </c>
      <c r="B252" s="151">
        <f t="shared" si="433"/>
        <v>8200</v>
      </c>
      <c r="C252" s="152">
        <f t="shared" si="434"/>
        <v>0</v>
      </c>
      <c r="D252" s="153">
        <f t="shared" ref="D252" si="537">+D253</f>
        <v>0</v>
      </c>
      <c r="E252" s="153">
        <f t="shared" ref="E252" si="538">+E253</f>
        <v>0</v>
      </c>
      <c r="F252" s="154">
        <f t="shared" si="435"/>
        <v>8200</v>
      </c>
      <c r="G252" s="155">
        <f t="shared" ref="G252" si="539">+G253</f>
        <v>0</v>
      </c>
      <c r="H252" s="155">
        <f>5626+H253</f>
        <v>5626</v>
      </c>
      <c r="I252" s="155">
        <f>2174+I253</f>
        <v>2174</v>
      </c>
      <c r="J252" s="155">
        <f t="shared" si="496"/>
        <v>0</v>
      </c>
      <c r="K252" s="155">
        <f>400+K253</f>
        <v>400</v>
      </c>
      <c r="L252" s="155">
        <f t="shared" ref="L252" si="540">+L253</f>
        <v>0</v>
      </c>
      <c r="M252" s="155">
        <f t="shared" ref="M252" si="541">+M253</f>
        <v>0</v>
      </c>
      <c r="N252" s="156">
        <f>+N253</f>
        <v>0</v>
      </c>
      <c r="O252" s="153">
        <f>+O253</f>
        <v>0</v>
      </c>
      <c r="P252" s="63">
        <f>+P253</f>
        <v>0</v>
      </c>
    </row>
    <row r="253" spans="1:16" ht="15" customHeight="1" x14ac:dyDescent="0.35">
      <c r="A253" s="157" t="s">
        <v>724</v>
      </c>
      <c r="B253" s="151">
        <f t="shared" si="433"/>
        <v>0</v>
      </c>
      <c r="C253" s="152">
        <f t="shared" si="434"/>
        <v>0</v>
      </c>
      <c r="D253" s="153"/>
      <c r="E253" s="153"/>
      <c r="F253" s="154">
        <f t="shared" si="435"/>
        <v>0</v>
      </c>
      <c r="G253" s="155"/>
      <c r="H253" s="155"/>
      <c r="I253" s="155"/>
      <c r="J253" s="155"/>
      <c r="K253" s="155"/>
      <c r="L253" s="155"/>
      <c r="M253" s="155"/>
      <c r="N253" s="156"/>
      <c r="O253" s="155"/>
      <c r="P253" s="63"/>
    </row>
    <row r="254" spans="1:16" ht="30" customHeight="1" x14ac:dyDescent="0.35">
      <c r="A254" s="150" t="s">
        <v>573</v>
      </c>
      <c r="B254" s="151">
        <f t="shared" si="433"/>
        <v>9140</v>
      </c>
      <c r="C254" s="152">
        <f t="shared" si="434"/>
        <v>0</v>
      </c>
      <c r="D254" s="153">
        <f t="shared" ref="D254" si="542">+D255</f>
        <v>0</v>
      </c>
      <c r="E254" s="153">
        <f t="shared" ref="E254" si="543">+E255</f>
        <v>0</v>
      </c>
      <c r="F254" s="154">
        <f t="shared" si="435"/>
        <v>9140</v>
      </c>
      <c r="G254" s="155">
        <f t="shared" ref="G254" si="544">+G255</f>
        <v>0</v>
      </c>
      <c r="H254" s="155">
        <f>7840+H255</f>
        <v>7840</v>
      </c>
      <c r="I254" s="155">
        <f>700+I255</f>
        <v>700</v>
      </c>
      <c r="J254" s="155">
        <f t="shared" si="496"/>
        <v>0</v>
      </c>
      <c r="K254" s="155">
        <f>600+K255</f>
        <v>600</v>
      </c>
      <c r="L254" s="155">
        <f t="shared" ref="L254" si="545">+L255</f>
        <v>0</v>
      </c>
      <c r="M254" s="155">
        <f t="shared" ref="M254" si="546">+M255</f>
        <v>0</v>
      </c>
      <c r="N254" s="156">
        <f>+N255</f>
        <v>0</v>
      </c>
      <c r="O254" s="153">
        <f>+O255</f>
        <v>0</v>
      </c>
      <c r="P254" s="63">
        <f>+P255</f>
        <v>0</v>
      </c>
    </row>
    <row r="255" spans="1:16" ht="15" customHeight="1" x14ac:dyDescent="0.35">
      <c r="A255" s="157" t="s">
        <v>724</v>
      </c>
      <c r="B255" s="151">
        <f t="shared" si="433"/>
        <v>0</v>
      </c>
      <c r="C255" s="152">
        <f t="shared" si="434"/>
        <v>0</v>
      </c>
      <c r="D255" s="153"/>
      <c r="E255" s="153"/>
      <c r="F255" s="154">
        <f t="shared" si="435"/>
        <v>0</v>
      </c>
      <c r="G255" s="155"/>
      <c r="H255" s="155"/>
      <c r="I255" s="155"/>
      <c r="J255" s="155"/>
      <c r="K255" s="155"/>
      <c r="L255" s="155"/>
      <c r="M255" s="155"/>
      <c r="N255" s="156"/>
      <c r="O255" s="155"/>
      <c r="P255" s="63"/>
    </row>
    <row r="256" spans="1:16" ht="30" customHeight="1" x14ac:dyDescent="0.35">
      <c r="A256" s="150" t="s">
        <v>574</v>
      </c>
      <c r="B256" s="151">
        <f t="shared" si="433"/>
        <v>4293</v>
      </c>
      <c r="C256" s="152">
        <f t="shared" si="434"/>
        <v>0</v>
      </c>
      <c r="D256" s="153">
        <f t="shared" ref="D256" si="547">+D257</f>
        <v>0</v>
      </c>
      <c r="E256" s="153">
        <f t="shared" ref="E256" si="548">+E257</f>
        <v>0</v>
      </c>
      <c r="F256" s="154">
        <f t="shared" si="435"/>
        <v>4293</v>
      </c>
      <c r="G256" s="155">
        <f t="shared" ref="G256" si="549">+G257</f>
        <v>0</v>
      </c>
      <c r="H256" s="155">
        <f>3073+H257</f>
        <v>3073</v>
      </c>
      <c r="I256" s="155">
        <f>1000+I257</f>
        <v>1000</v>
      </c>
      <c r="J256" s="155">
        <f t="shared" si="496"/>
        <v>0</v>
      </c>
      <c r="K256" s="155">
        <f>220+K257</f>
        <v>220</v>
      </c>
      <c r="L256" s="155">
        <f t="shared" ref="L256" si="550">+L257</f>
        <v>0</v>
      </c>
      <c r="M256" s="155">
        <f t="shared" ref="M256" si="551">+M257</f>
        <v>0</v>
      </c>
      <c r="N256" s="156">
        <f>+N257</f>
        <v>0</v>
      </c>
      <c r="O256" s="153">
        <f>+O257</f>
        <v>0</v>
      </c>
      <c r="P256" s="63">
        <f>+P257</f>
        <v>0</v>
      </c>
    </row>
    <row r="257" spans="1:16" ht="15" customHeight="1" x14ac:dyDescent="0.35">
      <c r="A257" s="157" t="s">
        <v>724</v>
      </c>
      <c r="B257" s="151">
        <f t="shared" si="433"/>
        <v>0</v>
      </c>
      <c r="C257" s="152">
        <f t="shared" si="434"/>
        <v>0</v>
      </c>
      <c r="D257" s="153"/>
      <c r="E257" s="153"/>
      <c r="F257" s="154">
        <f t="shared" si="435"/>
        <v>0</v>
      </c>
      <c r="G257" s="155"/>
      <c r="H257" s="155"/>
      <c r="I257" s="155"/>
      <c r="J257" s="155"/>
      <c r="K257" s="155"/>
      <c r="L257" s="155"/>
      <c r="M257" s="155"/>
      <c r="N257" s="156"/>
      <c r="O257" s="155"/>
      <c r="P257" s="63"/>
    </row>
    <row r="258" spans="1:16" ht="30" customHeight="1" x14ac:dyDescent="0.35">
      <c r="A258" s="150" t="s">
        <v>575</v>
      </c>
      <c r="B258" s="151">
        <f t="shared" si="433"/>
        <v>4850</v>
      </c>
      <c r="C258" s="152">
        <f t="shared" si="434"/>
        <v>0</v>
      </c>
      <c r="D258" s="153">
        <f t="shared" ref="D258" si="552">+D259</f>
        <v>0</v>
      </c>
      <c r="E258" s="153">
        <f t="shared" ref="E258" si="553">+E259</f>
        <v>0</v>
      </c>
      <c r="F258" s="154">
        <f t="shared" si="435"/>
        <v>4850</v>
      </c>
      <c r="G258" s="155">
        <f t="shared" ref="G258" si="554">+G259</f>
        <v>0</v>
      </c>
      <c r="H258" s="155">
        <f>4150+H259</f>
        <v>4150</v>
      </c>
      <c r="I258" s="155">
        <f>500+I259</f>
        <v>500</v>
      </c>
      <c r="J258" s="155">
        <f t="shared" si="496"/>
        <v>0</v>
      </c>
      <c r="K258" s="155">
        <f>200+K259</f>
        <v>200</v>
      </c>
      <c r="L258" s="155">
        <f t="shared" ref="L258" si="555">+L259</f>
        <v>0</v>
      </c>
      <c r="M258" s="155">
        <f t="shared" ref="M258" si="556">+M259</f>
        <v>0</v>
      </c>
      <c r="N258" s="156">
        <f>+N259</f>
        <v>0</v>
      </c>
      <c r="O258" s="153">
        <f>+O259</f>
        <v>0</v>
      </c>
      <c r="P258" s="63">
        <f>+P259</f>
        <v>0</v>
      </c>
    </row>
    <row r="259" spans="1:16" ht="15" customHeight="1" x14ac:dyDescent="0.35">
      <c r="A259" s="157" t="s">
        <v>724</v>
      </c>
      <c r="B259" s="151">
        <f t="shared" si="433"/>
        <v>0</v>
      </c>
      <c r="C259" s="152">
        <f t="shared" si="434"/>
        <v>0</v>
      </c>
      <c r="D259" s="153"/>
      <c r="E259" s="153"/>
      <c r="F259" s="154">
        <f t="shared" si="435"/>
        <v>0</v>
      </c>
      <c r="G259" s="155"/>
      <c r="H259" s="155"/>
      <c r="I259" s="155"/>
      <c r="J259" s="155"/>
      <c r="K259" s="155"/>
      <c r="L259" s="155"/>
      <c r="M259" s="155"/>
      <c r="N259" s="156"/>
      <c r="O259" s="155"/>
      <c r="P259" s="63"/>
    </row>
    <row r="260" spans="1:16" ht="30" customHeight="1" x14ac:dyDescent="0.35">
      <c r="A260" s="150" t="s">
        <v>576</v>
      </c>
      <c r="B260" s="151">
        <f t="shared" si="433"/>
        <v>7610</v>
      </c>
      <c r="C260" s="152">
        <f t="shared" si="434"/>
        <v>0</v>
      </c>
      <c r="D260" s="153">
        <f t="shared" ref="D260" si="557">+D261</f>
        <v>0</v>
      </c>
      <c r="E260" s="153">
        <f t="shared" ref="E260" si="558">+E261</f>
        <v>0</v>
      </c>
      <c r="F260" s="154">
        <f t="shared" si="435"/>
        <v>7610</v>
      </c>
      <c r="G260" s="155">
        <f t="shared" ref="G260" si="559">+G261</f>
        <v>0</v>
      </c>
      <c r="H260" s="155">
        <f>6469+H261</f>
        <v>6469</v>
      </c>
      <c r="I260" s="155">
        <f>591+I261</f>
        <v>591</v>
      </c>
      <c r="J260" s="155">
        <f t="shared" si="496"/>
        <v>0</v>
      </c>
      <c r="K260" s="155">
        <f>550+K261</f>
        <v>550</v>
      </c>
      <c r="L260" s="155">
        <f t="shared" ref="L260" si="560">+L261</f>
        <v>0</v>
      </c>
      <c r="M260" s="155">
        <f t="shared" ref="M260" si="561">+M261</f>
        <v>0</v>
      </c>
      <c r="N260" s="156">
        <f>+N261</f>
        <v>0</v>
      </c>
      <c r="O260" s="153">
        <f>+O261</f>
        <v>0</v>
      </c>
      <c r="P260" s="63">
        <f>+P261</f>
        <v>0</v>
      </c>
    </row>
    <row r="261" spans="1:16" ht="15" customHeight="1" x14ac:dyDescent="0.35">
      <c r="A261" s="157" t="s">
        <v>724</v>
      </c>
      <c r="B261" s="151">
        <f t="shared" si="433"/>
        <v>0</v>
      </c>
      <c r="C261" s="152">
        <f t="shared" si="434"/>
        <v>0</v>
      </c>
      <c r="D261" s="153"/>
      <c r="E261" s="153"/>
      <c r="F261" s="154">
        <f t="shared" si="435"/>
        <v>0</v>
      </c>
      <c r="G261" s="155"/>
      <c r="H261" s="155"/>
      <c r="I261" s="155"/>
      <c r="J261" s="155"/>
      <c r="K261" s="155"/>
      <c r="L261" s="155"/>
      <c r="M261" s="155"/>
      <c r="N261" s="156"/>
      <c r="O261" s="155"/>
      <c r="P261" s="63"/>
    </row>
    <row r="262" spans="1:16" ht="30" customHeight="1" x14ac:dyDescent="0.35">
      <c r="A262" s="150" t="s">
        <v>577</v>
      </c>
      <c r="B262" s="151">
        <f t="shared" si="433"/>
        <v>6400</v>
      </c>
      <c r="C262" s="152">
        <f t="shared" si="434"/>
        <v>0</v>
      </c>
      <c r="D262" s="153">
        <f t="shared" ref="D262" si="562">+D263</f>
        <v>0</v>
      </c>
      <c r="E262" s="153">
        <f t="shared" ref="E262" si="563">+E263</f>
        <v>0</v>
      </c>
      <c r="F262" s="154">
        <f t="shared" si="435"/>
        <v>6400</v>
      </c>
      <c r="G262" s="155">
        <f t="shared" ref="G262" si="564">+G263</f>
        <v>0</v>
      </c>
      <c r="H262" s="155">
        <f>4250+H263</f>
        <v>4250</v>
      </c>
      <c r="I262" s="155">
        <f>1700+I263</f>
        <v>1700</v>
      </c>
      <c r="J262" s="155">
        <f t="shared" si="496"/>
        <v>0</v>
      </c>
      <c r="K262" s="155">
        <f>450+K263</f>
        <v>450</v>
      </c>
      <c r="L262" s="155">
        <f t="shared" ref="L262" si="565">+L263</f>
        <v>0</v>
      </c>
      <c r="M262" s="155">
        <f t="shared" ref="M262" si="566">+M263</f>
        <v>0</v>
      </c>
      <c r="N262" s="156">
        <f>+N263</f>
        <v>0</v>
      </c>
      <c r="O262" s="153">
        <f>+O263</f>
        <v>0</v>
      </c>
      <c r="P262" s="63">
        <f>+P263</f>
        <v>0</v>
      </c>
    </row>
    <row r="263" spans="1:16" ht="15" customHeight="1" x14ac:dyDescent="0.35">
      <c r="A263" s="157" t="s">
        <v>724</v>
      </c>
      <c r="B263" s="151">
        <f t="shared" si="433"/>
        <v>0</v>
      </c>
      <c r="C263" s="152">
        <f t="shared" si="434"/>
        <v>0</v>
      </c>
      <c r="D263" s="153"/>
      <c r="E263" s="153"/>
      <c r="F263" s="154">
        <f t="shared" si="435"/>
        <v>0</v>
      </c>
      <c r="G263" s="155"/>
      <c r="H263" s="155"/>
      <c r="I263" s="155"/>
      <c r="J263" s="155"/>
      <c r="K263" s="155"/>
      <c r="L263" s="155"/>
      <c r="M263" s="155"/>
      <c r="N263" s="156"/>
      <c r="O263" s="155"/>
      <c r="P263" s="63"/>
    </row>
    <row r="264" spans="1:16" ht="23.25" customHeight="1" x14ac:dyDescent="0.35">
      <c r="A264" s="150" t="s">
        <v>84</v>
      </c>
      <c r="B264" s="151">
        <f t="shared" si="433"/>
        <v>10679</v>
      </c>
      <c r="C264" s="152">
        <f t="shared" si="434"/>
        <v>0</v>
      </c>
      <c r="D264" s="153">
        <f t="shared" ref="D264" si="567">+D265</f>
        <v>0</v>
      </c>
      <c r="E264" s="153">
        <f t="shared" ref="E264" si="568">+E265</f>
        <v>0</v>
      </c>
      <c r="F264" s="154">
        <f t="shared" si="435"/>
        <v>10679</v>
      </c>
      <c r="G264" s="155">
        <f t="shared" ref="G264" si="569">+G265</f>
        <v>0</v>
      </c>
      <c r="H264" s="155">
        <f>6590+H265</f>
        <v>6590</v>
      </c>
      <c r="I264" s="155">
        <f>3519+I265</f>
        <v>3519</v>
      </c>
      <c r="J264" s="155">
        <f t="shared" si="496"/>
        <v>0</v>
      </c>
      <c r="K264" s="155">
        <f>570+K265</f>
        <v>570</v>
      </c>
      <c r="L264" s="155">
        <f t="shared" ref="L264" si="570">+L265</f>
        <v>0</v>
      </c>
      <c r="M264" s="155">
        <f t="shared" ref="M264" si="571">+M265</f>
        <v>0</v>
      </c>
      <c r="N264" s="156">
        <f>+N265</f>
        <v>0</v>
      </c>
      <c r="O264" s="153">
        <f>+O265</f>
        <v>0</v>
      </c>
      <c r="P264" s="63">
        <f>+P265</f>
        <v>0</v>
      </c>
    </row>
    <row r="265" spans="1:16" ht="15" customHeight="1" x14ac:dyDescent="0.35">
      <c r="A265" s="157" t="s">
        <v>724</v>
      </c>
      <c r="B265" s="151">
        <f t="shared" si="433"/>
        <v>0</v>
      </c>
      <c r="C265" s="152">
        <f t="shared" si="434"/>
        <v>0</v>
      </c>
      <c r="D265" s="153"/>
      <c r="E265" s="153"/>
      <c r="F265" s="154">
        <f t="shared" si="435"/>
        <v>0</v>
      </c>
      <c r="G265" s="155"/>
      <c r="H265" s="155"/>
      <c r="I265" s="155"/>
      <c r="J265" s="155"/>
      <c r="K265" s="155"/>
      <c r="L265" s="155"/>
      <c r="M265" s="155"/>
      <c r="N265" s="160"/>
      <c r="O265" s="155"/>
      <c r="P265" s="63"/>
    </row>
    <row r="266" spans="1:16" ht="30" customHeight="1" x14ac:dyDescent="0.35">
      <c r="A266" s="150" t="s">
        <v>578</v>
      </c>
      <c r="B266" s="151">
        <f t="shared" si="433"/>
        <v>3135</v>
      </c>
      <c r="C266" s="152">
        <f t="shared" si="434"/>
        <v>0</v>
      </c>
      <c r="D266" s="153">
        <f t="shared" ref="D266" si="572">+D267</f>
        <v>0</v>
      </c>
      <c r="E266" s="153">
        <f t="shared" ref="E266" si="573">+E267</f>
        <v>0</v>
      </c>
      <c r="F266" s="154">
        <f t="shared" si="435"/>
        <v>3135</v>
      </c>
      <c r="G266" s="155">
        <f t="shared" ref="G266" si="574">+G267</f>
        <v>0</v>
      </c>
      <c r="H266" s="155">
        <f>2600+H267</f>
        <v>2600</v>
      </c>
      <c r="I266" s="155">
        <f>420+I267</f>
        <v>420</v>
      </c>
      <c r="J266" s="155">
        <f t="shared" si="496"/>
        <v>0</v>
      </c>
      <c r="K266" s="155">
        <f>115+K267</f>
        <v>115</v>
      </c>
      <c r="L266" s="155">
        <f t="shared" ref="L266" si="575">+L267</f>
        <v>0</v>
      </c>
      <c r="M266" s="155">
        <f t="shared" ref="M266" si="576">+M267</f>
        <v>0</v>
      </c>
      <c r="N266" s="156">
        <f>+N267</f>
        <v>0</v>
      </c>
      <c r="O266" s="153">
        <f>+O267</f>
        <v>0</v>
      </c>
      <c r="P266" s="63">
        <f>+P267</f>
        <v>0</v>
      </c>
    </row>
    <row r="267" spans="1:16" ht="15" customHeight="1" x14ac:dyDescent="0.35">
      <c r="A267" s="157" t="s">
        <v>724</v>
      </c>
      <c r="B267" s="151">
        <f t="shared" si="433"/>
        <v>0</v>
      </c>
      <c r="C267" s="152">
        <f t="shared" si="434"/>
        <v>0</v>
      </c>
      <c r="D267" s="153"/>
      <c r="E267" s="153"/>
      <c r="F267" s="154">
        <f t="shared" si="435"/>
        <v>0</v>
      </c>
      <c r="G267" s="155"/>
      <c r="H267" s="155"/>
      <c r="I267" s="155"/>
      <c r="J267" s="155"/>
      <c r="K267" s="155"/>
      <c r="L267" s="155"/>
      <c r="M267" s="155"/>
      <c r="N267" s="160"/>
      <c r="O267" s="155"/>
      <c r="P267" s="63"/>
    </row>
    <row r="268" spans="1:16" ht="30" customHeight="1" x14ac:dyDescent="0.35">
      <c r="A268" s="150" t="s">
        <v>579</v>
      </c>
      <c r="B268" s="151">
        <f t="shared" si="433"/>
        <v>6836</v>
      </c>
      <c r="C268" s="152">
        <f t="shared" si="434"/>
        <v>0</v>
      </c>
      <c r="D268" s="153">
        <f t="shared" ref="D268" si="577">+D269</f>
        <v>0</v>
      </c>
      <c r="E268" s="153">
        <f t="shared" ref="E268" si="578">+E269</f>
        <v>0</v>
      </c>
      <c r="F268" s="154">
        <f t="shared" si="435"/>
        <v>6836</v>
      </c>
      <c r="G268" s="155">
        <f t="shared" ref="G268" si="579">+G269</f>
        <v>0</v>
      </c>
      <c r="H268" s="155">
        <f>4753+H269</f>
        <v>4753</v>
      </c>
      <c r="I268" s="155">
        <f>1860+I269</f>
        <v>1860</v>
      </c>
      <c r="J268" s="155">
        <f t="shared" si="496"/>
        <v>0</v>
      </c>
      <c r="K268" s="155">
        <f>223+K269</f>
        <v>223</v>
      </c>
      <c r="L268" s="155">
        <f t="shared" ref="L268" si="580">+L269</f>
        <v>0</v>
      </c>
      <c r="M268" s="155">
        <f t="shared" ref="M268" si="581">+M269</f>
        <v>0</v>
      </c>
      <c r="N268" s="156">
        <f>+N269</f>
        <v>0</v>
      </c>
      <c r="O268" s="153">
        <f>+O269</f>
        <v>0</v>
      </c>
      <c r="P268" s="63">
        <f>+P269</f>
        <v>0</v>
      </c>
    </row>
    <row r="269" spans="1:16" ht="15" customHeight="1" x14ac:dyDescent="0.35">
      <c r="A269" s="157" t="s">
        <v>724</v>
      </c>
      <c r="B269" s="151">
        <f t="shared" si="433"/>
        <v>0</v>
      </c>
      <c r="C269" s="152">
        <f t="shared" si="434"/>
        <v>0</v>
      </c>
      <c r="D269" s="153"/>
      <c r="E269" s="153"/>
      <c r="F269" s="154">
        <f t="shared" si="435"/>
        <v>0</v>
      </c>
      <c r="G269" s="155"/>
      <c r="H269" s="155"/>
      <c r="I269" s="155"/>
      <c r="J269" s="155"/>
      <c r="K269" s="155"/>
      <c r="L269" s="155"/>
      <c r="M269" s="155"/>
      <c r="N269" s="156"/>
      <c r="O269" s="155"/>
      <c r="P269" s="63"/>
    </row>
    <row r="270" spans="1:16" ht="30" customHeight="1" x14ac:dyDescent="0.35">
      <c r="A270" s="150" t="s">
        <v>580</v>
      </c>
      <c r="B270" s="151">
        <f t="shared" si="433"/>
        <v>3665</v>
      </c>
      <c r="C270" s="152">
        <f t="shared" si="434"/>
        <v>0</v>
      </c>
      <c r="D270" s="153">
        <f t="shared" ref="D270" si="582">+D271</f>
        <v>0</v>
      </c>
      <c r="E270" s="153">
        <f t="shared" ref="E270" si="583">+E271</f>
        <v>0</v>
      </c>
      <c r="F270" s="154">
        <f t="shared" si="435"/>
        <v>3665</v>
      </c>
      <c r="G270" s="155">
        <f t="shared" ref="G270" si="584">+G271</f>
        <v>0</v>
      </c>
      <c r="H270" s="155">
        <f>2976+H271</f>
        <v>2976</v>
      </c>
      <c r="I270" s="155">
        <f>339+I271</f>
        <v>339</v>
      </c>
      <c r="J270" s="155">
        <f t="shared" si="496"/>
        <v>0</v>
      </c>
      <c r="K270" s="155">
        <f>350+K271</f>
        <v>350</v>
      </c>
      <c r="L270" s="155">
        <f t="shared" ref="L270" si="585">+L271</f>
        <v>0</v>
      </c>
      <c r="M270" s="155">
        <f t="shared" ref="M270" si="586">+M271</f>
        <v>0</v>
      </c>
      <c r="N270" s="156">
        <f>+N271</f>
        <v>0</v>
      </c>
      <c r="O270" s="153">
        <f>+O271</f>
        <v>0</v>
      </c>
      <c r="P270" s="63">
        <f>+P271</f>
        <v>0</v>
      </c>
    </row>
    <row r="271" spans="1:16" ht="15" customHeight="1" x14ac:dyDescent="0.35">
      <c r="A271" s="157" t="s">
        <v>724</v>
      </c>
      <c r="B271" s="151">
        <f t="shared" si="433"/>
        <v>0</v>
      </c>
      <c r="C271" s="152">
        <f t="shared" si="434"/>
        <v>0</v>
      </c>
      <c r="D271" s="153"/>
      <c r="E271" s="153"/>
      <c r="F271" s="154">
        <f t="shared" si="435"/>
        <v>0</v>
      </c>
      <c r="G271" s="155"/>
      <c r="H271" s="155"/>
      <c r="I271" s="155"/>
      <c r="J271" s="155"/>
      <c r="K271" s="155"/>
      <c r="L271" s="155"/>
      <c r="M271" s="155"/>
      <c r="N271" s="156"/>
      <c r="O271" s="155"/>
      <c r="P271" s="63"/>
    </row>
    <row r="272" spans="1:16" ht="26.25" customHeight="1" x14ac:dyDescent="0.35">
      <c r="A272" s="150" t="s">
        <v>85</v>
      </c>
      <c r="B272" s="151">
        <f t="shared" si="433"/>
        <v>11100</v>
      </c>
      <c r="C272" s="152">
        <f t="shared" si="434"/>
        <v>0</v>
      </c>
      <c r="D272" s="153">
        <f t="shared" ref="D272" si="587">+D273</f>
        <v>0</v>
      </c>
      <c r="E272" s="153">
        <f t="shared" ref="E272" si="588">+E273</f>
        <v>0</v>
      </c>
      <c r="F272" s="154">
        <f t="shared" si="435"/>
        <v>11100</v>
      </c>
      <c r="G272" s="155">
        <f t="shared" ref="G272" si="589">+G273</f>
        <v>0</v>
      </c>
      <c r="H272" s="155">
        <f>6350+H273</f>
        <v>6350</v>
      </c>
      <c r="I272" s="155">
        <f>4150+I273</f>
        <v>4150</v>
      </c>
      <c r="J272" s="155">
        <f t="shared" si="496"/>
        <v>0</v>
      </c>
      <c r="K272" s="155">
        <f>600+K273</f>
        <v>600</v>
      </c>
      <c r="L272" s="155">
        <f t="shared" ref="L272" si="590">+L273</f>
        <v>0</v>
      </c>
      <c r="M272" s="155">
        <f t="shared" ref="M272" si="591">+M273</f>
        <v>0</v>
      </c>
      <c r="N272" s="156">
        <f>+N273</f>
        <v>0</v>
      </c>
      <c r="O272" s="153">
        <f>+O273</f>
        <v>0</v>
      </c>
      <c r="P272" s="63">
        <f>+P273</f>
        <v>0</v>
      </c>
    </row>
    <row r="273" spans="1:16" ht="15" customHeight="1" x14ac:dyDescent="0.35">
      <c r="A273" s="157" t="s">
        <v>724</v>
      </c>
      <c r="B273" s="151">
        <f t="shared" si="433"/>
        <v>0</v>
      </c>
      <c r="C273" s="152">
        <f t="shared" si="434"/>
        <v>0</v>
      </c>
      <c r="D273" s="153"/>
      <c r="E273" s="153"/>
      <c r="F273" s="154">
        <f t="shared" si="435"/>
        <v>0</v>
      </c>
      <c r="G273" s="155"/>
      <c r="H273" s="155"/>
      <c r="I273" s="155">
        <v>0</v>
      </c>
      <c r="J273" s="155"/>
      <c r="K273" s="155"/>
      <c r="L273" s="155"/>
      <c r="M273" s="155"/>
      <c r="N273" s="160"/>
      <c r="O273" s="155"/>
      <c r="P273" s="63"/>
    </row>
    <row r="274" spans="1:16" ht="30" customHeight="1" x14ac:dyDescent="0.35">
      <c r="A274" s="150" t="s">
        <v>581</v>
      </c>
      <c r="B274" s="151">
        <f t="shared" si="433"/>
        <v>3779</v>
      </c>
      <c r="C274" s="152">
        <f t="shared" si="434"/>
        <v>0</v>
      </c>
      <c r="D274" s="153">
        <f t="shared" ref="D274" si="592">+D275</f>
        <v>0</v>
      </c>
      <c r="E274" s="153">
        <f t="shared" ref="E274" si="593">+E275</f>
        <v>0</v>
      </c>
      <c r="F274" s="154">
        <f t="shared" si="435"/>
        <v>3779</v>
      </c>
      <c r="G274" s="155">
        <f t="shared" ref="G274" si="594">+G275</f>
        <v>0</v>
      </c>
      <c r="H274" s="155">
        <f>2286+H275</f>
        <v>2286</v>
      </c>
      <c r="I274" s="155">
        <f>400+I275</f>
        <v>1206</v>
      </c>
      <c r="J274" s="155">
        <f t="shared" si="496"/>
        <v>0</v>
      </c>
      <c r="K274" s="155">
        <f>287+K275</f>
        <v>287</v>
      </c>
      <c r="L274" s="155">
        <f t="shared" ref="L274" si="595">+L275</f>
        <v>0</v>
      </c>
      <c r="M274" s="155">
        <f t="shared" ref="M274" si="596">+M275</f>
        <v>0</v>
      </c>
      <c r="N274" s="156">
        <f>+N275</f>
        <v>0</v>
      </c>
      <c r="O274" s="153">
        <f>+O275</f>
        <v>0</v>
      </c>
      <c r="P274" s="63">
        <f>+P275</f>
        <v>0</v>
      </c>
    </row>
    <row r="275" spans="1:16" ht="15" customHeight="1" x14ac:dyDescent="0.35">
      <c r="A275" s="157" t="s">
        <v>724</v>
      </c>
      <c r="B275" s="151">
        <f t="shared" ref="B275:B338" si="597">SUM(C275+F275,L275,M275,N275,O275,P275)</f>
        <v>806</v>
      </c>
      <c r="C275" s="152">
        <f t="shared" ref="C275:C338" si="598">D275+E275</f>
        <v>0</v>
      </c>
      <c r="D275" s="153"/>
      <c r="E275" s="153"/>
      <c r="F275" s="154">
        <f t="shared" ref="F275:F338" si="599">SUM(G275,H275,I275,J275,K275)</f>
        <v>806</v>
      </c>
      <c r="G275" s="155"/>
      <c r="H275" s="155"/>
      <c r="I275" s="155">
        <v>806</v>
      </c>
      <c r="J275" s="155"/>
      <c r="K275" s="155"/>
      <c r="L275" s="155"/>
      <c r="M275" s="155"/>
      <c r="N275" s="156"/>
      <c r="O275" s="155"/>
      <c r="P275" s="63"/>
    </row>
    <row r="276" spans="1:16" ht="21" customHeight="1" x14ac:dyDescent="0.35">
      <c r="A276" s="150" t="s">
        <v>582</v>
      </c>
      <c r="B276" s="151">
        <f t="shared" si="597"/>
        <v>14523</v>
      </c>
      <c r="C276" s="152">
        <f t="shared" si="598"/>
        <v>0</v>
      </c>
      <c r="D276" s="153">
        <f t="shared" ref="D276" si="600">+D277</f>
        <v>0</v>
      </c>
      <c r="E276" s="153">
        <f t="shared" ref="E276" si="601">+E277</f>
        <v>0</v>
      </c>
      <c r="F276" s="154">
        <f t="shared" si="599"/>
        <v>14523</v>
      </c>
      <c r="G276" s="155">
        <f t="shared" ref="G276" si="602">+G277</f>
        <v>0</v>
      </c>
      <c r="H276" s="155">
        <f>12839+H277</f>
        <v>12839</v>
      </c>
      <c r="I276" s="155">
        <f>984+I277</f>
        <v>984</v>
      </c>
      <c r="J276" s="155">
        <f t="shared" si="496"/>
        <v>0</v>
      </c>
      <c r="K276" s="155">
        <f>700+K277</f>
        <v>700</v>
      </c>
      <c r="L276" s="155">
        <f t="shared" ref="L276" si="603">+L277</f>
        <v>0</v>
      </c>
      <c r="M276" s="155">
        <f t="shared" ref="M276" si="604">+M277</f>
        <v>0</v>
      </c>
      <c r="N276" s="156">
        <f>+N277</f>
        <v>0</v>
      </c>
      <c r="O276" s="153">
        <f>+O277</f>
        <v>0</v>
      </c>
      <c r="P276" s="63">
        <f>+P277</f>
        <v>0</v>
      </c>
    </row>
    <row r="277" spans="1:16" ht="15" customHeight="1" x14ac:dyDescent="0.35">
      <c r="A277" s="157" t="s">
        <v>724</v>
      </c>
      <c r="B277" s="151">
        <f t="shared" si="597"/>
        <v>0</v>
      </c>
      <c r="C277" s="152">
        <f t="shared" si="598"/>
        <v>0</v>
      </c>
      <c r="D277" s="153"/>
      <c r="E277" s="153"/>
      <c r="F277" s="154">
        <f t="shared" si="599"/>
        <v>0</v>
      </c>
      <c r="G277" s="155"/>
      <c r="H277" s="155"/>
      <c r="I277" s="155"/>
      <c r="J277" s="155"/>
      <c r="K277" s="155"/>
      <c r="L277" s="155"/>
      <c r="M277" s="155"/>
      <c r="N277" s="156"/>
      <c r="O277" s="155"/>
      <c r="P277" s="63"/>
    </row>
    <row r="278" spans="1:16" ht="30" customHeight="1" x14ac:dyDescent="0.35">
      <c r="A278" s="150" t="s">
        <v>583</v>
      </c>
      <c r="B278" s="151">
        <f t="shared" si="597"/>
        <v>3241</v>
      </c>
      <c r="C278" s="152">
        <f t="shared" si="598"/>
        <v>0</v>
      </c>
      <c r="D278" s="153">
        <f t="shared" ref="D278" si="605">+D279</f>
        <v>0</v>
      </c>
      <c r="E278" s="153">
        <f t="shared" ref="E278" si="606">+E279</f>
        <v>0</v>
      </c>
      <c r="F278" s="154">
        <f t="shared" si="599"/>
        <v>3241</v>
      </c>
      <c r="G278" s="155">
        <f t="shared" ref="G278" si="607">+G279</f>
        <v>0</v>
      </c>
      <c r="H278" s="155">
        <f>1676+H279</f>
        <v>1676</v>
      </c>
      <c r="I278" s="155">
        <f>1360+I279</f>
        <v>1360</v>
      </c>
      <c r="J278" s="155">
        <f t="shared" si="496"/>
        <v>0</v>
      </c>
      <c r="K278" s="155">
        <f>205+K279</f>
        <v>205</v>
      </c>
      <c r="L278" s="155">
        <f t="shared" ref="L278" si="608">+L279</f>
        <v>0</v>
      </c>
      <c r="M278" s="155">
        <f t="shared" ref="M278" si="609">+M279</f>
        <v>0</v>
      </c>
      <c r="N278" s="156">
        <f>+N279</f>
        <v>0</v>
      </c>
      <c r="O278" s="153">
        <f>+O279</f>
        <v>0</v>
      </c>
      <c r="P278" s="63">
        <f>+P279</f>
        <v>0</v>
      </c>
    </row>
    <row r="279" spans="1:16" ht="15" customHeight="1" x14ac:dyDescent="0.35">
      <c r="A279" s="157" t="s">
        <v>724</v>
      </c>
      <c r="B279" s="151">
        <f t="shared" si="597"/>
        <v>0</v>
      </c>
      <c r="C279" s="152">
        <f t="shared" si="598"/>
        <v>0</v>
      </c>
      <c r="D279" s="153"/>
      <c r="E279" s="153"/>
      <c r="F279" s="154">
        <f t="shared" si="599"/>
        <v>0</v>
      </c>
      <c r="G279" s="155"/>
      <c r="H279" s="155"/>
      <c r="I279" s="155"/>
      <c r="J279" s="155"/>
      <c r="K279" s="155"/>
      <c r="L279" s="155"/>
      <c r="M279" s="155"/>
      <c r="N279" s="156"/>
      <c r="O279" s="155"/>
      <c r="P279" s="63"/>
    </row>
    <row r="280" spans="1:16" ht="30" customHeight="1" x14ac:dyDescent="0.35">
      <c r="A280" s="150" t="s">
        <v>584</v>
      </c>
      <c r="B280" s="151">
        <f t="shared" si="597"/>
        <v>5170</v>
      </c>
      <c r="C280" s="152">
        <f t="shared" si="598"/>
        <v>0</v>
      </c>
      <c r="D280" s="153">
        <f t="shared" ref="D280" si="610">+D281</f>
        <v>0</v>
      </c>
      <c r="E280" s="153">
        <f t="shared" ref="E280" si="611">+E281</f>
        <v>0</v>
      </c>
      <c r="F280" s="154">
        <f t="shared" si="599"/>
        <v>5170</v>
      </c>
      <c r="G280" s="155">
        <f t="shared" ref="G280" si="612">+G281</f>
        <v>0</v>
      </c>
      <c r="H280" s="155">
        <f>4490+H281</f>
        <v>4490</v>
      </c>
      <c r="I280" s="155">
        <f>650+I281</f>
        <v>650</v>
      </c>
      <c r="J280" s="155">
        <f t="shared" si="496"/>
        <v>0</v>
      </c>
      <c r="K280" s="155">
        <f>30+K281</f>
        <v>30</v>
      </c>
      <c r="L280" s="155">
        <f t="shared" ref="L280" si="613">+L281</f>
        <v>0</v>
      </c>
      <c r="M280" s="155">
        <f t="shared" ref="M280" si="614">+M281</f>
        <v>0</v>
      </c>
      <c r="N280" s="156">
        <f>+N281</f>
        <v>0</v>
      </c>
      <c r="O280" s="153">
        <f>+O281</f>
        <v>0</v>
      </c>
      <c r="P280" s="63">
        <f>+P281</f>
        <v>0</v>
      </c>
    </row>
    <row r="281" spans="1:16" ht="15" customHeight="1" x14ac:dyDescent="0.35">
      <c r="A281" s="157" t="s">
        <v>724</v>
      </c>
      <c r="B281" s="151">
        <f t="shared" si="597"/>
        <v>0</v>
      </c>
      <c r="C281" s="152">
        <f t="shared" si="598"/>
        <v>0</v>
      </c>
      <c r="D281" s="153"/>
      <c r="E281" s="153"/>
      <c r="F281" s="154">
        <f t="shared" si="599"/>
        <v>0</v>
      </c>
      <c r="G281" s="155"/>
      <c r="H281" s="155"/>
      <c r="I281" s="155"/>
      <c r="J281" s="155"/>
      <c r="K281" s="155"/>
      <c r="L281" s="155"/>
      <c r="M281" s="155"/>
      <c r="N281" s="156"/>
      <c r="O281" s="155"/>
      <c r="P281" s="63"/>
    </row>
    <row r="282" spans="1:16" ht="30" customHeight="1" x14ac:dyDescent="0.35">
      <c r="A282" s="150" t="s">
        <v>585</v>
      </c>
      <c r="B282" s="151">
        <f t="shared" si="597"/>
        <v>3642</v>
      </c>
      <c r="C282" s="152">
        <f t="shared" si="598"/>
        <v>0</v>
      </c>
      <c r="D282" s="153">
        <f t="shared" ref="D282" si="615">+D283</f>
        <v>0</v>
      </c>
      <c r="E282" s="153">
        <f t="shared" ref="E282" si="616">+E283</f>
        <v>0</v>
      </c>
      <c r="F282" s="154">
        <f t="shared" si="599"/>
        <v>3642</v>
      </c>
      <c r="G282" s="155">
        <f t="shared" ref="G282" si="617">+G283</f>
        <v>0</v>
      </c>
      <c r="H282" s="155">
        <f>3250+H283</f>
        <v>3250</v>
      </c>
      <c r="I282" s="155">
        <f>292+I283</f>
        <v>292</v>
      </c>
      <c r="J282" s="155">
        <f t="shared" si="496"/>
        <v>0</v>
      </c>
      <c r="K282" s="155">
        <f>100+K283</f>
        <v>100</v>
      </c>
      <c r="L282" s="155">
        <f t="shared" ref="L282" si="618">+L283</f>
        <v>0</v>
      </c>
      <c r="M282" s="155">
        <f t="shared" ref="M282" si="619">+M283</f>
        <v>0</v>
      </c>
      <c r="N282" s="156">
        <f>+N283</f>
        <v>0</v>
      </c>
      <c r="O282" s="153">
        <f>+O283</f>
        <v>0</v>
      </c>
      <c r="P282" s="63">
        <f>+P283</f>
        <v>0</v>
      </c>
    </row>
    <row r="283" spans="1:16" ht="15" customHeight="1" x14ac:dyDescent="0.35">
      <c r="A283" s="157" t="s">
        <v>724</v>
      </c>
      <c r="B283" s="151">
        <f t="shared" si="597"/>
        <v>0</v>
      </c>
      <c r="C283" s="152">
        <f t="shared" si="598"/>
        <v>0</v>
      </c>
      <c r="D283" s="153"/>
      <c r="E283" s="153"/>
      <c r="F283" s="154">
        <f t="shared" si="599"/>
        <v>0</v>
      </c>
      <c r="G283" s="155"/>
      <c r="H283" s="155"/>
      <c r="I283" s="155"/>
      <c r="J283" s="155"/>
      <c r="K283" s="155"/>
      <c r="L283" s="155"/>
      <c r="M283" s="155"/>
      <c r="N283" s="156"/>
      <c r="O283" s="155"/>
      <c r="P283" s="63"/>
    </row>
    <row r="284" spans="1:16" ht="30" customHeight="1" x14ac:dyDescent="0.35">
      <c r="A284" s="150" t="s">
        <v>586</v>
      </c>
      <c r="B284" s="151">
        <f t="shared" si="597"/>
        <v>19568</v>
      </c>
      <c r="C284" s="152">
        <f t="shared" si="598"/>
        <v>11628</v>
      </c>
      <c r="D284" s="153">
        <f>9408+D285</f>
        <v>9408</v>
      </c>
      <c r="E284" s="153">
        <f>2220+E285</f>
        <v>2220</v>
      </c>
      <c r="F284" s="154">
        <f t="shared" si="599"/>
        <v>7940</v>
      </c>
      <c r="G284" s="155">
        <f t="shared" ref="G284" si="620">+G285</f>
        <v>0</v>
      </c>
      <c r="H284" s="155">
        <f>3780+H285</f>
        <v>3780</v>
      </c>
      <c r="I284" s="155">
        <f>2540+I285</f>
        <v>2540</v>
      </c>
      <c r="J284" s="155">
        <f t="shared" si="496"/>
        <v>0</v>
      </c>
      <c r="K284" s="155">
        <f>1620+K285</f>
        <v>1620</v>
      </c>
      <c r="L284" s="155">
        <f t="shared" ref="L284" si="621">+L285</f>
        <v>0</v>
      </c>
      <c r="M284" s="155">
        <f t="shared" ref="M284" si="622">+M285</f>
        <v>0</v>
      </c>
      <c r="N284" s="156">
        <f>+N285</f>
        <v>0</v>
      </c>
      <c r="O284" s="153">
        <f>+O285</f>
        <v>0</v>
      </c>
      <c r="P284" s="63">
        <f>+P285</f>
        <v>0</v>
      </c>
    </row>
    <row r="285" spans="1:16" ht="15" customHeight="1" x14ac:dyDescent="0.35">
      <c r="A285" s="157" t="s">
        <v>724</v>
      </c>
      <c r="B285" s="151">
        <f t="shared" si="597"/>
        <v>0</v>
      </c>
      <c r="C285" s="152">
        <f t="shared" si="598"/>
        <v>0</v>
      </c>
      <c r="D285" s="153"/>
      <c r="E285" s="153"/>
      <c r="F285" s="154">
        <f t="shared" si="599"/>
        <v>0</v>
      </c>
      <c r="G285" s="155"/>
      <c r="H285" s="155"/>
      <c r="I285" s="155"/>
      <c r="J285" s="155"/>
      <c r="K285" s="155"/>
      <c r="L285" s="155"/>
      <c r="M285" s="155"/>
      <c r="N285" s="156"/>
      <c r="O285" s="155"/>
      <c r="P285" s="63"/>
    </row>
    <row r="286" spans="1:16" ht="30" customHeight="1" x14ac:dyDescent="0.35">
      <c r="A286" s="150" t="s">
        <v>587</v>
      </c>
      <c r="B286" s="151">
        <f t="shared" si="597"/>
        <v>5950</v>
      </c>
      <c r="C286" s="152">
        <f t="shared" si="598"/>
        <v>0</v>
      </c>
      <c r="D286" s="153">
        <f>+D287</f>
        <v>0</v>
      </c>
      <c r="E286" s="153">
        <f>+E287</f>
        <v>0</v>
      </c>
      <c r="F286" s="154">
        <f t="shared" si="599"/>
        <v>5950</v>
      </c>
      <c r="G286" s="155">
        <f t="shared" ref="G286" si="623">+G287</f>
        <v>0</v>
      </c>
      <c r="H286" s="155">
        <f>4410+H287</f>
        <v>4410</v>
      </c>
      <c r="I286" s="155">
        <f>1240+I287</f>
        <v>1240</v>
      </c>
      <c r="J286" s="155">
        <f t="shared" si="496"/>
        <v>0</v>
      </c>
      <c r="K286" s="155">
        <f>300+K287</f>
        <v>300</v>
      </c>
      <c r="L286" s="155">
        <f t="shared" ref="L286" si="624">+L287</f>
        <v>0</v>
      </c>
      <c r="M286" s="155">
        <f t="shared" ref="M286" si="625">+M287</f>
        <v>0</v>
      </c>
      <c r="N286" s="156">
        <f>+N287</f>
        <v>0</v>
      </c>
      <c r="O286" s="153">
        <f>+O287</f>
        <v>0</v>
      </c>
      <c r="P286" s="63">
        <f>+P287</f>
        <v>0</v>
      </c>
    </row>
    <row r="287" spans="1:16" ht="15" customHeight="1" x14ac:dyDescent="0.35">
      <c r="A287" s="157" t="s">
        <v>724</v>
      </c>
      <c r="B287" s="151">
        <f t="shared" si="597"/>
        <v>0</v>
      </c>
      <c r="C287" s="152">
        <f t="shared" si="598"/>
        <v>0</v>
      </c>
      <c r="D287" s="153"/>
      <c r="E287" s="153"/>
      <c r="F287" s="154">
        <f t="shared" si="599"/>
        <v>0</v>
      </c>
      <c r="G287" s="155"/>
      <c r="H287" s="155"/>
      <c r="I287" s="155"/>
      <c r="J287" s="155"/>
      <c r="K287" s="155"/>
      <c r="L287" s="155"/>
      <c r="M287" s="155"/>
      <c r="N287" s="156"/>
      <c r="O287" s="155"/>
      <c r="P287" s="63"/>
    </row>
    <row r="288" spans="1:16" ht="30" customHeight="1" x14ac:dyDescent="0.35">
      <c r="A288" s="150" t="s">
        <v>588</v>
      </c>
      <c r="B288" s="151">
        <f t="shared" si="597"/>
        <v>13998</v>
      </c>
      <c r="C288" s="152">
        <f t="shared" si="598"/>
        <v>11568</v>
      </c>
      <c r="D288" s="153">
        <f>9360+D289</f>
        <v>9360</v>
      </c>
      <c r="E288" s="153">
        <f>2208+E289</f>
        <v>2208</v>
      </c>
      <c r="F288" s="154">
        <f t="shared" si="599"/>
        <v>2430</v>
      </c>
      <c r="G288" s="155">
        <f t="shared" ref="G288" si="626">+G289</f>
        <v>0</v>
      </c>
      <c r="H288" s="155">
        <f>1059+H289</f>
        <v>1059</v>
      </c>
      <c r="I288" s="155">
        <f>920+I289</f>
        <v>920</v>
      </c>
      <c r="J288" s="155">
        <f t="shared" si="496"/>
        <v>0</v>
      </c>
      <c r="K288" s="155">
        <f>451+K289</f>
        <v>451</v>
      </c>
      <c r="L288" s="155">
        <f t="shared" ref="L288" si="627">+L289</f>
        <v>0</v>
      </c>
      <c r="M288" s="155">
        <f t="shared" ref="M288" si="628">+M289</f>
        <v>0</v>
      </c>
      <c r="N288" s="156">
        <f>+N289</f>
        <v>0</v>
      </c>
      <c r="O288" s="153">
        <f>+O289</f>
        <v>0</v>
      </c>
      <c r="P288" s="63">
        <f>+P289</f>
        <v>0</v>
      </c>
    </row>
    <row r="289" spans="1:16" ht="15" customHeight="1" x14ac:dyDescent="0.35">
      <c r="A289" s="157" t="s">
        <v>724</v>
      </c>
      <c r="B289" s="151">
        <f t="shared" si="597"/>
        <v>0</v>
      </c>
      <c r="C289" s="152">
        <f t="shared" si="598"/>
        <v>0</v>
      </c>
      <c r="D289" s="153"/>
      <c r="E289" s="153"/>
      <c r="F289" s="154">
        <f t="shared" si="599"/>
        <v>0</v>
      </c>
      <c r="G289" s="155"/>
      <c r="H289" s="155"/>
      <c r="I289" s="155"/>
      <c r="J289" s="155"/>
      <c r="K289" s="155"/>
      <c r="L289" s="155"/>
      <c r="M289" s="155"/>
      <c r="N289" s="156"/>
      <c r="O289" s="155"/>
      <c r="P289" s="63"/>
    </row>
    <row r="290" spans="1:16" ht="15" customHeight="1" x14ac:dyDescent="0.35">
      <c r="A290" s="150" t="s">
        <v>186</v>
      </c>
      <c r="B290" s="151">
        <f t="shared" si="597"/>
        <v>15173</v>
      </c>
      <c r="C290" s="152">
        <f t="shared" si="598"/>
        <v>10372</v>
      </c>
      <c r="D290" s="153">
        <f>8328+D291</f>
        <v>8328</v>
      </c>
      <c r="E290" s="153">
        <f>80+1964+E291</f>
        <v>2044</v>
      </c>
      <c r="F290" s="154">
        <f t="shared" si="599"/>
        <v>4801</v>
      </c>
      <c r="G290" s="155">
        <f t="shared" ref="G290" si="629">+G291</f>
        <v>0</v>
      </c>
      <c r="H290" s="155">
        <f>1450+H291</f>
        <v>1450</v>
      </c>
      <c r="I290" s="155">
        <f>3351+I291</f>
        <v>3351</v>
      </c>
      <c r="J290" s="155">
        <f t="shared" si="496"/>
        <v>0</v>
      </c>
      <c r="K290" s="155">
        <f>+K291</f>
        <v>0</v>
      </c>
      <c r="L290" s="155">
        <f t="shared" ref="L290" si="630">+L291</f>
        <v>0</v>
      </c>
      <c r="M290" s="155">
        <f t="shared" ref="M290" si="631">+M291</f>
        <v>0</v>
      </c>
      <c r="N290" s="156">
        <f>+N291</f>
        <v>0</v>
      </c>
      <c r="O290" s="153">
        <f>+O291</f>
        <v>0</v>
      </c>
      <c r="P290" s="63">
        <f>+P291</f>
        <v>0</v>
      </c>
    </row>
    <row r="291" spans="1:16" ht="15" customHeight="1" x14ac:dyDescent="0.35">
      <c r="A291" s="157" t="s">
        <v>724</v>
      </c>
      <c r="B291" s="151">
        <f t="shared" si="597"/>
        <v>0</v>
      </c>
      <c r="C291" s="152">
        <f t="shared" si="598"/>
        <v>0</v>
      </c>
      <c r="D291" s="153"/>
      <c r="E291" s="153"/>
      <c r="F291" s="154">
        <f t="shared" si="599"/>
        <v>0</v>
      </c>
      <c r="G291" s="155"/>
      <c r="H291" s="155"/>
      <c r="I291" s="155"/>
      <c r="J291" s="155"/>
      <c r="K291" s="155"/>
      <c r="L291" s="155"/>
      <c r="M291" s="155"/>
      <c r="N291" s="156"/>
      <c r="O291" s="155"/>
      <c r="P291" s="63"/>
    </row>
    <row r="292" spans="1:16" ht="15" customHeight="1" x14ac:dyDescent="0.35">
      <c r="A292" s="150" t="s">
        <v>627</v>
      </c>
      <c r="B292" s="151">
        <f t="shared" si="597"/>
        <v>15123</v>
      </c>
      <c r="C292" s="152">
        <f t="shared" si="598"/>
        <v>10322</v>
      </c>
      <c r="D292" s="153">
        <f>8328+D293</f>
        <v>8328</v>
      </c>
      <c r="E292" s="153">
        <f>30+1964+E293</f>
        <v>1994</v>
      </c>
      <c r="F292" s="154">
        <f t="shared" si="599"/>
        <v>4801</v>
      </c>
      <c r="G292" s="155">
        <f t="shared" ref="G292" si="632">+G293</f>
        <v>0</v>
      </c>
      <c r="H292" s="155">
        <f>1230+H293</f>
        <v>1230</v>
      </c>
      <c r="I292" s="155">
        <f>3571+I293</f>
        <v>3571</v>
      </c>
      <c r="J292" s="155">
        <f t="shared" ref="J292:J314" si="633">+J293</f>
        <v>0</v>
      </c>
      <c r="K292" s="155">
        <f t="shared" ref="K292" si="634">+K293</f>
        <v>0</v>
      </c>
      <c r="L292" s="155">
        <f t="shared" ref="L292" si="635">+L293</f>
        <v>0</v>
      </c>
      <c r="M292" s="155">
        <f t="shared" ref="M292" si="636">+M293</f>
        <v>0</v>
      </c>
      <c r="N292" s="156">
        <f>+N293</f>
        <v>0</v>
      </c>
      <c r="O292" s="153">
        <f>+O293</f>
        <v>0</v>
      </c>
      <c r="P292" s="63">
        <f>+P293</f>
        <v>0</v>
      </c>
    </row>
    <row r="293" spans="1:16" ht="15" customHeight="1" x14ac:dyDescent="0.35">
      <c r="A293" s="157" t="s">
        <v>724</v>
      </c>
      <c r="B293" s="151">
        <f t="shared" si="597"/>
        <v>0</v>
      </c>
      <c r="C293" s="152">
        <f t="shared" si="598"/>
        <v>0</v>
      </c>
      <c r="D293" s="153"/>
      <c r="E293" s="153"/>
      <c r="F293" s="154">
        <f t="shared" si="599"/>
        <v>0</v>
      </c>
      <c r="G293" s="155"/>
      <c r="H293" s="155"/>
      <c r="I293" s="155"/>
      <c r="J293" s="155"/>
      <c r="K293" s="155"/>
      <c r="L293" s="155"/>
      <c r="M293" s="155"/>
      <c r="N293" s="156"/>
      <c r="O293" s="155"/>
      <c r="P293" s="63"/>
    </row>
    <row r="294" spans="1:16" ht="15" customHeight="1" x14ac:dyDescent="0.35">
      <c r="A294" s="150" t="s">
        <v>188</v>
      </c>
      <c r="B294" s="151">
        <f t="shared" si="597"/>
        <v>15123</v>
      </c>
      <c r="C294" s="152">
        <f t="shared" si="598"/>
        <v>11288</v>
      </c>
      <c r="D294" s="153">
        <f>9363+D295</f>
        <v>9363</v>
      </c>
      <c r="E294" s="153">
        <f>30+1895+E295</f>
        <v>1925</v>
      </c>
      <c r="F294" s="154">
        <f t="shared" si="599"/>
        <v>2835</v>
      </c>
      <c r="G294" s="155">
        <f t="shared" ref="G294" si="637">+G295</f>
        <v>0</v>
      </c>
      <c r="H294" s="155">
        <f>1060+H295</f>
        <v>1060</v>
      </c>
      <c r="I294" s="155">
        <f>1775+I295</f>
        <v>1775</v>
      </c>
      <c r="J294" s="155">
        <f t="shared" si="633"/>
        <v>0</v>
      </c>
      <c r="K294" s="155">
        <f t="shared" ref="K294" si="638">+K295</f>
        <v>0</v>
      </c>
      <c r="L294" s="155">
        <f t="shared" ref="L294" si="639">+L295</f>
        <v>0</v>
      </c>
      <c r="M294" s="155">
        <f t="shared" ref="M294" si="640">+M295</f>
        <v>0</v>
      </c>
      <c r="N294" s="156">
        <f>1000+N295</f>
        <v>1000</v>
      </c>
      <c r="O294" s="153">
        <f>+O295</f>
        <v>0</v>
      </c>
      <c r="P294" s="63">
        <f>+P295</f>
        <v>0</v>
      </c>
    </row>
    <row r="295" spans="1:16" ht="15" customHeight="1" x14ac:dyDescent="0.35">
      <c r="A295" s="157" t="s">
        <v>724</v>
      </c>
      <c r="B295" s="151">
        <f t="shared" si="597"/>
        <v>0</v>
      </c>
      <c r="C295" s="152">
        <f t="shared" si="598"/>
        <v>0</v>
      </c>
      <c r="D295" s="153"/>
      <c r="E295" s="153"/>
      <c r="F295" s="154">
        <f t="shared" si="599"/>
        <v>0</v>
      </c>
      <c r="G295" s="155"/>
      <c r="H295" s="155"/>
      <c r="I295" s="155"/>
      <c r="J295" s="155"/>
      <c r="K295" s="155"/>
      <c r="L295" s="155"/>
      <c r="M295" s="155"/>
      <c r="N295" s="156"/>
      <c r="O295" s="155"/>
      <c r="P295" s="63"/>
    </row>
    <row r="296" spans="1:16" ht="15" customHeight="1" x14ac:dyDescent="0.35">
      <c r="A296" s="150" t="s">
        <v>626</v>
      </c>
      <c r="B296" s="151">
        <f t="shared" si="597"/>
        <v>15123</v>
      </c>
      <c r="C296" s="152">
        <f t="shared" si="598"/>
        <v>11288</v>
      </c>
      <c r="D296" s="153">
        <f>9363+D297</f>
        <v>9363</v>
      </c>
      <c r="E296" s="153">
        <f>1895+30+E297</f>
        <v>1925</v>
      </c>
      <c r="F296" s="154">
        <f t="shared" si="599"/>
        <v>3835</v>
      </c>
      <c r="G296" s="155">
        <f t="shared" ref="G296" si="641">+G297</f>
        <v>0</v>
      </c>
      <c r="H296" s="155">
        <f>952+H297</f>
        <v>952</v>
      </c>
      <c r="I296" s="155">
        <f>2883+I297</f>
        <v>2883</v>
      </c>
      <c r="J296" s="155">
        <f t="shared" si="633"/>
        <v>0</v>
      </c>
      <c r="K296" s="155">
        <f t="shared" ref="K296" si="642">+K297</f>
        <v>0</v>
      </c>
      <c r="L296" s="155">
        <f t="shared" ref="L296" si="643">+L297</f>
        <v>0</v>
      </c>
      <c r="M296" s="155">
        <f t="shared" ref="M296" si="644">+M297</f>
        <v>0</v>
      </c>
      <c r="N296" s="156">
        <f>+N297</f>
        <v>0</v>
      </c>
      <c r="O296" s="153">
        <f>+O297</f>
        <v>0</v>
      </c>
      <c r="P296" s="63">
        <f>+P297</f>
        <v>0</v>
      </c>
    </row>
    <row r="297" spans="1:16" ht="15" customHeight="1" x14ac:dyDescent="0.35">
      <c r="A297" s="157" t="s">
        <v>724</v>
      </c>
      <c r="B297" s="151">
        <f t="shared" si="597"/>
        <v>0</v>
      </c>
      <c r="C297" s="152">
        <f t="shared" si="598"/>
        <v>0</v>
      </c>
      <c r="D297" s="153"/>
      <c r="E297" s="153"/>
      <c r="F297" s="154">
        <f t="shared" si="599"/>
        <v>0</v>
      </c>
      <c r="G297" s="155"/>
      <c r="H297" s="155"/>
      <c r="I297" s="155"/>
      <c r="J297" s="155"/>
      <c r="K297" s="155"/>
      <c r="L297" s="155"/>
      <c r="M297" s="155"/>
      <c r="N297" s="156"/>
      <c r="O297" s="155"/>
      <c r="P297" s="63"/>
    </row>
    <row r="298" spans="1:16" ht="15" customHeight="1" x14ac:dyDescent="0.35">
      <c r="A298" s="150" t="s">
        <v>189</v>
      </c>
      <c r="B298" s="151">
        <f t="shared" si="597"/>
        <v>15123</v>
      </c>
      <c r="C298" s="152">
        <f t="shared" si="598"/>
        <v>10322</v>
      </c>
      <c r="D298" s="159">
        <f>8328+D299</f>
        <v>8328</v>
      </c>
      <c r="E298" s="159">
        <f>30+1964+E299</f>
        <v>1994</v>
      </c>
      <c r="F298" s="154">
        <f t="shared" si="599"/>
        <v>4801</v>
      </c>
      <c r="G298" s="155">
        <f t="shared" ref="G298" si="645">+G299</f>
        <v>0</v>
      </c>
      <c r="H298" s="162">
        <f>1770+H299</f>
        <v>1770</v>
      </c>
      <c r="I298" s="162">
        <f>3031+I299</f>
        <v>3031</v>
      </c>
      <c r="J298" s="155">
        <f t="shared" si="633"/>
        <v>0</v>
      </c>
      <c r="K298" s="155">
        <f t="shared" ref="K298" si="646">+K299</f>
        <v>0</v>
      </c>
      <c r="L298" s="155">
        <f t="shared" ref="L298" si="647">+L299</f>
        <v>0</v>
      </c>
      <c r="M298" s="155">
        <f t="shared" ref="M298" si="648">+M299</f>
        <v>0</v>
      </c>
      <c r="N298" s="156">
        <f>+N299</f>
        <v>0</v>
      </c>
      <c r="O298" s="153">
        <f>+O299</f>
        <v>0</v>
      </c>
      <c r="P298" s="63">
        <f>+P299</f>
        <v>0</v>
      </c>
    </row>
    <row r="299" spans="1:16" ht="15" customHeight="1" x14ac:dyDescent="0.35">
      <c r="A299" s="157" t="s">
        <v>724</v>
      </c>
      <c r="B299" s="151">
        <f t="shared" si="597"/>
        <v>0</v>
      </c>
      <c r="C299" s="152">
        <f t="shared" si="598"/>
        <v>0</v>
      </c>
      <c r="D299" s="159"/>
      <c r="E299" s="159"/>
      <c r="F299" s="154">
        <f t="shared" si="599"/>
        <v>0</v>
      </c>
      <c r="G299" s="155"/>
      <c r="H299" s="162"/>
      <c r="I299" s="162"/>
      <c r="J299" s="155"/>
      <c r="K299" s="155"/>
      <c r="L299" s="162"/>
      <c r="M299" s="155"/>
      <c r="N299" s="160"/>
      <c r="O299" s="162"/>
      <c r="P299" s="63"/>
    </row>
    <row r="300" spans="1:16" ht="15" customHeight="1" x14ac:dyDescent="0.35">
      <c r="A300" s="150" t="s">
        <v>625</v>
      </c>
      <c r="B300" s="151">
        <f t="shared" si="597"/>
        <v>15123</v>
      </c>
      <c r="C300" s="152">
        <f t="shared" si="598"/>
        <v>10322</v>
      </c>
      <c r="D300" s="153">
        <f>8328+D301</f>
        <v>8328</v>
      </c>
      <c r="E300" s="153">
        <f>30+1964+E301</f>
        <v>1994</v>
      </c>
      <c r="F300" s="154">
        <f t="shared" si="599"/>
        <v>4801</v>
      </c>
      <c r="G300" s="155">
        <f t="shared" ref="G300" si="649">+G301</f>
        <v>0</v>
      </c>
      <c r="H300" s="155">
        <f>857+H301</f>
        <v>857</v>
      </c>
      <c r="I300" s="155">
        <f>3944+I301</f>
        <v>3944</v>
      </c>
      <c r="J300" s="155">
        <f t="shared" si="633"/>
        <v>0</v>
      </c>
      <c r="K300" s="155">
        <f t="shared" ref="K300" si="650">+K301</f>
        <v>0</v>
      </c>
      <c r="L300" s="155">
        <f t="shared" ref="L300" si="651">+L301</f>
        <v>0</v>
      </c>
      <c r="M300" s="155">
        <f t="shared" ref="M300" si="652">+M301</f>
        <v>0</v>
      </c>
      <c r="N300" s="156">
        <f>+N301</f>
        <v>0</v>
      </c>
      <c r="O300" s="153">
        <f>+O301</f>
        <v>0</v>
      </c>
      <c r="P300" s="63">
        <f>+P301</f>
        <v>0</v>
      </c>
    </row>
    <row r="301" spans="1:16" ht="15" customHeight="1" x14ac:dyDescent="0.35">
      <c r="A301" s="157" t="s">
        <v>724</v>
      </c>
      <c r="B301" s="151">
        <f t="shared" si="597"/>
        <v>0</v>
      </c>
      <c r="C301" s="152">
        <f t="shared" si="598"/>
        <v>0</v>
      </c>
      <c r="D301" s="153"/>
      <c r="E301" s="153"/>
      <c r="F301" s="154">
        <f t="shared" si="599"/>
        <v>0</v>
      </c>
      <c r="G301" s="155"/>
      <c r="H301" s="155"/>
      <c r="I301" s="155"/>
      <c r="J301" s="155"/>
      <c r="K301" s="155"/>
      <c r="L301" s="155"/>
      <c r="M301" s="155"/>
      <c r="N301" s="156"/>
      <c r="O301" s="155"/>
      <c r="P301" s="63"/>
    </row>
    <row r="302" spans="1:16" ht="15" customHeight="1" x14ac:dyDescent="0.35">
      <c r="A302" s="150" t="s">
        <v>190</v>
      </c>
      <c r="B302" s="151">
        <f t="shared" si="597"/>
        <v>15123</v>
      </c>
      <c r="C302" s="152">
        <f t="shared" si="598"/>
        <v>10322</v>
      </c>
      <c r="D302" s="153">
        <f>8328+D303</f>
        <v>8328</v>
      </c>
      <c r="E302" s="153">
        <f>30+1964+E303</f>
        <v>1994</v>
      </c>
      <c r="F302" s="154">
        <f t="shared" si="599"/>
        <v>3851</v>
      </c>
      <c r="G302" s="155">
        <f t="shared" ref="G302" si="653">+G303</f>
        <v>0</v>
      </c>
      <c r="H302" s="155">
        <f>1300+H303</f>
        <v>1300</v>
      </c>
      <c r="I302" s="155">
        <f>2551+I303</f>
        <v>2551</v>
      </c>
      <c r="J302" s="155">
        <f t="shared" si="633"/>
        <v>0</v>
      </c>
      <c r="K302" s="155">
        <f t="shared" ref="K302" si="654">+K303</f>
        <v>0</v>
      </c>
      <c r="L302" s="155">
        <f t="shared" ref="L302" si="655">+L303</f>
        <v>0</v>
      </c>
      <c r="M302" s="155">
        <f t="shared" ref="M302" si="656">+M303</f>
        <v>0</v>
      </c>
      <c r="N302" s="156">
        <f>950+N303</f>
        <v>950</v>
      </c>
      <c r="O302" s="153">
        <f>+O303</f>
        <v>0</v>
      </c>
      <c r="P302" s="63">
        <f>+P303</f>
        <v>0</v>
      </c>
    </row>
    <row r="303" spans="1:16" ht="15" customHeight="1" x14ac:dyDescent="0.35">
      <c r="A303" s="157" t="s">
        <v>724</v>
      </c>
      <c r="B303" s="151">
        <f t="shared" si="597"/>
        <v>0</v>
      </c>
      <c r="C303" s="152">
        <f t="shared" si="598"/>
        <v>0</v>
      </c>
      <c r="D303" s="153"/>
      <c r="E303" s="153"/>
      <c r="F303" s="154">
        <f t="shared" si="599"/>
        <v>0</v>
      </c>
      <c r="G303" s="155"/>
      <c r="H303" s="155"/>
      <c r="I303" s="155"/>
      <c r="J303" s="155"/>
      <c r="K303" s="155"/>
      <c r="L303" s="155"/>
      <c r="M303" s="155"/>
      <c r="N303" s="156"/>
      <c r="O303" s="155"/>
      <c r="P303" s="63"/>
    </row>
    <row r="304" spans="1:16" ht="15" customHeight="1" x14ac:dyDescent="0.35">
      <c r="A304" s="150" t="s">
        <v>191</v>
      </c>
      <c r="B304" s="151">
        <f t="shared" si="597"/>
        <v>15123</v>
      </c>
      <c r="C304" s="152">
        <f t="shared" si="598"/>
        <v>11288</v>
      </c>
      <c r="D304" s="153">
        <f>9363+D305</f>
        <v>9363</v>
      </c>
      <c r="E304" s="153">
        <f>30+1895+E305</f>
        <v>1925</v>
      </c>
      <c r="F304" s="154">
        <f t="shared" si="599"/>
        <v>3835</v>
      </c>
      <c r="G304" s="155">
        <f t="shared" ref="G304" si="657">+G305</f>
        <v>0</v>
      </c>
      <c r="H304" s="155">
        <f>1406+H305</f>
        <v>1406</v>
      </c>
      <c r="I304" s="155">
        <f>2429+I305</f>
        <v>2429</v>
      </c>
      <c r="J304" s="155">
        <f t="shared" si="633"/>
        <v>0</v>
      </c>
      <c r="K304" s="155">
        <f t="shared" ref="K304" si="658">+K305</f>
        <v>0</v>
      </c>
      <c r="L304" s="155">
        <f t="shared" ref="L304" si="659">+L305</f>
        <v>0</v>
      </c>
      <c r="M304" s="155">
        <f t="shared" ref="M304" si="660">+M305</f>
        <v>0</v>
      </c>
      <c r="N304" s="156">
        <f>+N305</f>
        <v>0</v>
      </c>
      <c r="O304" s="153">
        <f>+O305</f>
        <v>0</v>
      </c>
      <c r="P304" s="63">
        <f>+P305</f>
        <v>0</v>
      </c>
    </row>
    <row r="305" spans="1:16" ht="15" customHeight="1" x14ac:dyDescent="0.35">
      <c r="A305" s="157" t="s">
        <v>724</v>
      </c>
      <c r="B305" s="151">
        <f t="shared" si="597"/>
        <v>0</v>
      </c>
      <c r="C305" s="152">
        <f t="shared" si="598"/>
        <v>0</v>
      </c>
      <c r="D305" s="153"/>
      <c r="E305" s="153"/>
      <c r="F305" s="154">
        <f t="shared" si="599"/>
        <v>0</v>
      </c>
      <c r="G305" s="155"/>
      <c r="H305" s="155"/>
      <c r="I305" s="155"/>
      <c r="J305" s="155"/>
      <c r="K305" s="155"/>
      <c r="L305" s="155"/>
      <c r="M305" s="162"/>
      <c r="N305" s="156"/>
      <c r="O305" s="155"/>
      <c r="P305" s="63"/>
    </row>
    <row r="306" spans="1:16" ht="30" customHeight="1" x14ac:dyDescent="0.35">
      <c r="A306" s="150" t="s">
        <v>112</v>
      </c>
      <c r="B306" s="151">
        <f t="shared" si="597"/>
        <v>30533</v>
      </c>
      <c r="C306" s="152">
        <f t="shared" si="598"/>
        <v>15365</v>
      </c>
      <c r="D306" s="159">
        <f>12432+D307</f>
        <v>12432</v>
      </c>
      <c r="E306" s="159">
        <f>2933+E307</f>
        <v>2933</v>
      </c>
      <c r="F306" s="154">
        <f t="shared" si="599"/>
        <v>15168</v>
      </c>
      <c r="G306" s="155">
        <f t="shared" ref="G306" si="661">+G307</f>
        <v>0</v>
      </c>
      <c r="H306" s="162">
        <f>6200+H307</f>
        <v>6200</v>
      </c>
      <c r="I306" s="162">
        <f>8968+I307</f>
        <v>8968</v>
      </c>
      <c r="J306" s="155">
        <f t="shared" si="633"/>
        <v>0</v>
      </c>
      <c r="K306" s="155">
        <f t="shared" ref="K306" si="662">+K307</f>
        <v>0</v>
      </c>
      <c r="L306" s="155">
        <f t="shared" ref="L306" si="663">+L307</f>
        <v>0</v>
      </c>
      <c r="M306" s="155">
        <f t="shared" ref="M306" si="664">+M307</f>
        <v>0</v>
      </c>
      <c r="N306" s="156">
        <f>+N307</f>
        <v>0</v>
      </c>
      <c r="O306" s="153">
        <f>+O307</f>
        <v>0</v>
      </c>
      <c r="P306" s="63">
        <f>+P307</f>
        <v>0</v>
      </c>
    </row>
    <row r="307" spans="1:16" ht="15" customHeight="1" x14ac:dyDescent="0.35">
      <c r="A307" s="157" t="s">
        <v>724</v>
      </c>
      <c r="B307" s="151">
        <f t="shared" si="597"/>
        <v>0</v>
      </c>
      <c r="C307" s="152">
        <f t="shared" si="598"/>
        <v>0</v>
      </c>
      <c r="D307" s="159"/>
      <c r="E307" s="159"/>
      <c r="F307" s="154">
        <f t="shared" si="599"/>
        <v>0</v>
      </c>
      <c r="G307" s="155"/>
      <c r="H307" s="162"/>
      <c r="I307" s="162"/>
      <c r="J307" s="155"/>
      <c r="K307" s="155"/>
      <c r="L307" s="162"/>
      <c r="M307" s="155"/>
      <c r="N307" s="160"/>
      <c r="O307" s="162"/>
      <c r="P307" s="63"/>
    </row>
    <row r="308" spans="1:16" ht="26.4" customHeight="1" x14ac:dyDescent="0.35">
      <c r="A308" s="158" t="s">
        <v>102</v>
      </c>
      <c r="B308" s="151">
        <f t="shared" si="597"/>
        <v>86306</v>
      </c>
      <c r="C308" s="152">
        <f t="shared" si="598"/>
        <v>78643</v>
      </c>
      <c r="D308" s="153">
        <f>63176+D309</f>
        <v>63176</v>
      </c>
      <c r="E308" s="153">
        <f>15467+E309</f>
        <v>15467</v>
      </c>
      <c r="F308" s="154">
        <f t="shared" si="599"/>
        <v>7663</v>
      </c>
      <c r="G308" s="155">
        <f t="shared" ref="G308" si="665">+G309</f>
        <v>0</v>
      </c>
      <c r="H308" s="155">
        <f>860+H309</f>
        <v>860</v>
      </c>
      <c r="I308" s="155">
        <f>6803+I309</f>
        <v>6803</v>
      </c>
      <c r="J308" s="155">
        <f t="shared" si="633"/>
        <v>0</v>
      </c>
      <c r="K308" s="155">
        <f t="shared" ref="K308" si="666">+K309</f>
        <v>0</v>
      </c>
      <c r="L308" s="155">
        <f t="shared" ref="L308" si="667">+L309</f>
        <v>0</v>
      </c>
      <c r="M308" s="155">
        <f t="shared" ref="M308" si="668">+M309</f>
        <v>0</v>
      </c>
      <c r="N308" s="156">
        <f>+N309</f>
        <v>0</v>
      </c>
      <c r="O308" s="153">
        <f>+O309</f>
        <v>0</v>
      </c>
      <c r="P308" s="63">
        <f>+P309</f>
        <v>0</v>
      </c>
    </row>
    <row r="309" spans="1:16" ht="15" customHeight="1" x14ac:dyDescent="0.35">
      <c r="A309" s="157" t="s">
        <v>724</v>
      </c>
      <c r="B309" s="151">
        <f t="shared" si="597"/>
        <v>0</v>
      </c>
      <c r="C309" s="152">
        <f t="shared" si="598"/>
        <v>0</v>
      </c>
      <c r="D309" s="153"/>
      <c r="E309" s="153"/>
      <c r="F309" s="154">
        <f t="shared" si="599"/>
        <v>0</v>
      </c>
      <c r="G309" s="155"/>
      <c r="H309" s="155"/>
      <c r="I309" s="155"/>
      <c r="J309" s="155"/>
      <c r="K309" s="155"/>
      <c r="L309" s="155"/>
      <c r="M309" s="155"/>
      <c r="N309" s="156"/>
      <c r="O309" s="155"/>
      <c r="P309" s="63"/>
    </row>
    <row r="310" spans="1:16" s="109" customFormat="1" ht="30" customHeight="1" x14ac:dyDescent="0.35">
      <c r="A310" s="158" t="s">
        <v>130</v>
      </c>
      <c r="B310" s="151">
        <f t="shared" si="597"/>
        <v>32792</v>
      </c>
      <c r="C310" s="152">
        <f t="shared" si="598"/>
        <v>1200</v>
      </c>
      <c r="D310" s="153">
        <f>1200+D311</f>
        <v>1200</v>
      </c>
      <c r="E310" s="153">
        <f>+E311</f>
        <v>0</v>
      </c>
      <c r="F310" s="154">
        <f t="shared" si="599"/>
        <v>31592</v>
      </c>
      <c r="G310" s="155">
        <f>792+G311</f>
        <v>792</v>
      </c>
      <c r="H310" s="155">
        <f>15225+H311</f>
        <v>15225</v>
      </c>
      <c r="I310" s="155">
        <f>15575+I311</f>
        <v>15575</v>
      </c>
      <c r="J310" s="155">
        <f t="shared" si="633"/>
        <v>0</v>
      </c>
      <c r="K310" s="155">
        <f t="shared" ref="K310" si="669">+K311</f>
        <v>0</v>
      </c>
      <c r="L310" s="155">
        <f t="shared" ref="L310" si="670">+L311</f>
        <v>0</v>
      </c>
      <c r="M310" s="155">
        <f t="shared" ref="M310" si="671">+M311</f>
        <v>0</v>
      </c>
      <c r="N310" s="156">
        <f>+N311</f>
        <v>0</v>
      </c>
      <c r="O310" s="153">
        <f>+O311</f>
        <v>0</v>
      </c>
      <c r="P310" s="63">
        <f>+P311</f>
        <v>0</v>
      </c>
    </row>
    <row r="311" spans="1:16" s="109" customFormat="1" ht="15" customHeight="1" x14ac:dyDescent="0.35">
      <c r="A311" s="157" t="s">
        <v>724</v>
      </c>
      <c r="B311" s="151">
        <f t="shared" si="597"/>
        <v>0</v>
      </c>
      <c r="C311" s="152">
        <f t="shared" si="598"/>
        <v>0</v>
      </c>
      <c r="D311" s="153"/>
      <c r="E311" s="153"/>
      <c r="F311" s="154">
        <f t="shared" si="599"/>
        <v>0</v>
      </c>
      <c r="G311" s="155"/>
      <c r="H311" s="155"/>
      <c r="I311" s="155"/>
      <c r="J311" s="155"/>
      <c r="K311" s="155"/>
      <c r="L311" s="155"/>
      <c r="M311" s="155"/>
      <c r="N311" s="156"/>
      <c r="O311" s="155"/>
      <c r="P311" s="143"/>
    </row>
    <row r="312" spans="1:16" ht="27.75" customHeight="1" x14ac:dyDescent="0.35">
      <c r="A312" s="158" t="s">
        <v>150</v>
      </c>
      <c r="B312" s="151">
        <f t="shared" si="597"/>
        <v>36791</v>
      </c>
      <c r="C312" s="152">
        <f t="shared" si="598"/>
        <v>17856</v>
      </c>
      <c r="D312" s="153">
        <f>14448+D313</f>
        <v>14448</v>
      </c>
      <c r="E312" s="153">
        <f>3408+E313</f>
        <v>3408</v>
      </c>
      <c r="F312" s="154">
        <f t="shared" si="599"/>
        <v>8935</v>
      </c>
      <c r="G312" s="155">
        <f>+G313</f>
        <v>0</v>
      </c>
      <c r="H312" s="155">
        <f>2680+H313</f>
        <v>2680</v>
      </c>
      <c r="I312" s="155">
        <f>6255+I313</f>
        <v>6255</v>
      </c>
      <c r="J312" s="155">
        <f t="shared" si="633"/>
        <v>0</v>
      </c>
      <c r="K312" s="155">
        <f t="shared" ref="K312" si="672">+K313</f>
        <v>0</v>
      </c>
      <c r="L312" s="155">
        <f t="shared" ref="L312" si="673">+L313</f>
        <v>0</v>
      </c>
      <c r="M312" s="155">
        <f t="shared" ref="M312" si="674">+M313</f>
        <v>0</v>
      </c>
      <c r="N312" s="156">
        <f>10000+N313</f>
        <v>10000</v>
      </c>
      <c r="O312" s="153">
        <f>+O313</f>
        <v>0</v>
      </c>
      <c r="P312" s="63">
        <f>+P313</f>
        <v>0</v>
      </c>
    </row>
    <row r="313" spans="1:16" ht="15" customHeight="1" x14ac:dyDescent="0.35">
      <c r="A313" s="157" t="s">
        <v>724</v>
      </c>
      <c r="B313" s="151">
        <f t="shared" si="597"/>
        <v>0</v>
      </c>
      <c r="C313" s="152">
        <f t="shared" si="598"/>
        <v>0</v>
      </c>
      <c r="D313" s="153"/>
      <c r="E313" s="153"/>
      <c r="F313" s="154">
        <f t="shared" si="599"/>
        <v>0</v>
      </c>
      <c r="G313" s="155"/>
      <c r="H313" s="155"/>
      <c r="I313" s="155"/>
      <c r="J313" s="155"/>
      <c r="K313" s="155"/>
      <c r="L313" s="155"/>
      <c r="M313" s="155"/>
      <c r="N313" s="156"/>
      <c r="O313" s="155"/>
      <c r="P313" s="63"/>
    </row>
    <row r="314" spans="1:16" ht="27.75" customHeight="1" x14ac:dyDescent="0.35">
      <c r="A314" s="158" t="s">
        <v>618</v>
      </c>
      <c r="B314" s="151">
        <f t="shared" si="597"/>
        <v>127485</v>
      </c>
      <c r="C314" s="152">
        <f t="shared" si="598"/>
        <v>0</v>
      </c>
      <c r="D314" s="153">
        <f>+D315</f>
        <v>0</v>
      </c>
      <c r="E314" s="153">
        <f>+E315</f>
        <v>0</v>
      </c>
      <c r="F314" s="154">
        <f t="shared" si="599"/>
        <v>121285</v>
      </c>
      <c r="G314" s="155">
        <f>+G315</f>
        <v>0</v>
      </c>
      <c r="H314" s="155">
        <f>121285+H315</f>
        <v>121285</v>
      </c>
      <c r="I314" s="155">
        <f>+I315</f>
        <v>0</v>
      </c>
      <c r="J314" s="155">
        <f t="shared" si="633"/>
        <v>0</v>
      </c>
      <c r="K314" s="155">
        <f t="shared" ref="K314" si="675">+K315</f>
        <v>0</v>
      </c>
      <c r="L314" s="155">
        <f t="shared" ref="L314" si="676">+L315</f>
        <v>0</v>
      </c>
      <c r="M314" s="155">
        <f t="shared" ref="M314" si="677">+M315</f>
        <v>0</v>
      </c>
      <c r="N314" s="156">
        <f>6200+N315</f>
        <v>6200</v>
      </c>
      <c r="O314" s="153">
        <f>+O315</f>
        <v>0</v>
      </c>
      <c r="P314" s="63">
        <f>+P315</f>
        <v>0</v>
      </c>
    </row>
    <row r="315" spans="1:16" ht="15" customHeight="1" x14ac:dyDescent="0.35">
      <c r="A315" s="157" t="s">
        <v>724</v>
      </c>
      <c r="B315" s="151">
        <f t="shared" si="597"/>
        <v>0</v>
      </c>
      <c r="C315" s="152">
        <f t="shared" si="598"/>
        <v>0</v>
      </c>
      <c r="D315" s="153"/>
      <c r="E315" s="153"/>
      <c r="F315" s="154">
        <f t="shared" si="599"/>
        <v>0</v>
      </c>
      <c r="G315" s="155"/>
      <c r="H315" s="155"/>
      <c r="I315" s="155"/>
      <c r="J315" s="155"/>
      <c r="K315" s="155"/>
      <c r="L315" s="155"/>
      <c r="M315" s="155"/>
      <c r="N315" s="156"/>
      <c r="O315" s="155"/>
      <c r="P315" s="63"/>
    </row>
    <row r="316" spans="1:16" ht="27.75" customHeight="1" x14ac:dyDescent="0.35">
      <c r="A316" s="158" t="s">
        <v>19</v>
      </c>
      <c r="B316" s="151">
        <f t="shared" si="597"/>
        <v>544518</v>
      </c>
      <c r="C316" s="152">
        <f t="shared" si="598"/>
        <v>474381</v>
      </c>
      <c r="D316" s="153">
        <f>392130+D317</f>
        <v>384330</v>
      </c>
      <c r="E316" s="153">
        <f>91891+E317</f>
        <v>90051</v>
      </c>
      <c r="F316" s="154">
        <f t="shared" si="599"/>
        <v>45737</v>
      </c>
      <c r="G316" s="155">
        <f>180+G317</f>
        <v>180</v>
      </c>
      <c r="H316" s="155">
        <f>25906+H317</f>
        <v>25906</v>
      </c>
      <c r="I316" s="155">
        <f>6251+I317</f>
        <v>6251</v>
      </c>
      <c r="J316" s="155">
        <f>13400+J317</f>
        <v>13400</v>
      </c>
      <c r="K316" s="155">
        <f t="shared" ref="K316" si="678">+K317</f>
        <v>0</v>
      </c>
      <c r="L316" s="155">
        <f t="shared" ref="L316" si="679">+L317</f>
        <v>0</v>
      </c>
      <c r="M316" s="155">
        <f t="shared" ref="M316" si="680">+M317</f>
        <v>0</v>
      </c>
      <c r="N316" s="156">
        <f>24400+N317</f>
        <v>24400</v>
      </c>
      <c r="O316" s="153">
        <f>+O317</f>
        <v>0</v>
      </c>
      <c r="P316" s="63">
        <f>+P317</f>
        <v>0</v>
      </c>
    </row>
    <row r="317" spans="1:16" ht="15" customHeight="1" x14ac:dyDescent="0.35">
      <c r="A317" s="157" t="s">
        <v>724</v>
      </c>
      <c r="B317" s="151">
        <f t="shared" si="597"/>
        <v>-9640</v>
      </c>
      <c r="C317" s="152">
        <f t="shared" si="598"/>
        <v>-9640</v>
      </c>
      <c r="D317" s="153">
        <v>-7800</v>
      </c>
      <c r="E317" s="153">
        <v>-1840</v>
      </c>
      <c r="F317" s="154">
        <f t="shared" si="599"/>
        <v>0</v>
      </c>
      <c r="G317" s="155"/>
      <c r="H317" s="155"/>
      <c r="I317" s="155"/>
      <c r="J317" s="155"/>
      <c r="K317" s="155"/>
      <c r="L317" s="155"/>
      <c r="M317" s="155"/>
      <c r="N317" s="156"/>
      <c r="O317" s="155"/>
      <c r="P317" s="63"/>
    </row>
    <row r="318" spans="1:16" ht="27.75" customHeight="1" x14ac:dyDescent="0.35">
      <c r="A318" s="150" t="s">
        <v>551</v>
      </c>
      <c r="B318" s="151">
        <f t="shared" si="597"/>
        <v>48094</v>
      </c>
      <c r="C318" s="152">
        <f t="shared" si="598"/>
        <v>0</v>
      </c>
      <c r="D318" s="153">
        <f>+D319</f>
        <v>0</v>
      </c>
      <c r="E318" s="153">
        <f>+E319</f>
        <v>0</v>
      </c>
      <c r="F318" s="154">
        <f t="shared" si="599"/>
        <v>48094</v>
      </c>
      <c r="G318" s="155">
        <f>+G319</f>
        <v>0</v>
      </c>
      <c r="H318" s="155">
        <f>42545+H319</f>
        <v>46290</v>
      </c>
      <c r="I318" s="155">
        <f>1804+I319</f>
        <v>1804</v>
      </c>
      <c r="J318" s="155">
        <f>+J319</f>
        <v>0</v>
      </c>
      <c r="K318" s="155">
        <f t="shared" ref="K318" si="681">+K319</f>
        <v>0</v>
      </c>
      <c r="L318" s="155">
        <f t="shared" ref="L318" si="682">+L319</f>
        <v>0</v>
      </c>
      <c r="M318" s="155">
        <f t="shared" ref="M318" si="683">+M319</f>
        <v>0</v>
      </c>
      <c r="N318" s="156">
        <f>+N319</f>
        <v>0</v>
      </c>
      <c r="O318" s="153">
        <f>+O319</f>
        <v>0</v>
      </c>
      <c r="P318" s="63">
        <f>+P319</f>
        <v>0</v>
      </c>
    </row>
    <row r="319" spans="1:16" ht="15" customHeight="1" x14ac:dyDescent="0.35">
      <c r="A319" s="157" t="s">
        <v>724</v>
      </c>
      <c r="B319" s="151">
        <f t="shared" si="597"/>
        <v>3745</v>
      </c>
      <c r="C319" s="152">
        <f t="shared" si="598"/>
        <v>0</v>
      </c>
      <c r="D319" s="153"/>
      <c r="E319" s="153"/>
      <c r="F319" s="154">
        <f t="shared" si="599"/>
        <v>3745</v>
      </c>
      <c r="G319" s="155"/>
      <c r="H319" s="155">
        <v>3745</v>
      </c>
      <c r="I319" s="155"/>
      <c r="J319" s="155"/>
      <c r="K319" s="155"/>
      <c r="L319" s="155"/>
      <c r="M319" s="155"/>
      <c r="N319" s="156"/>
      <c r="O319" s="155"/>
      <c r="P319" s="63"/>
    </row>
    <row r="320" spans="1:16" ht="18" customHeight="1" x14ac:dyDescent="0.35">
      <c r="A320" s="150" t="s">
        <v>59</v>
      </c>
      <c r="B320" s="151">
        <f t="shared" si="597"/>
        <v>153191</v>
      </c>
      <c r="C320" s="152">
        <f t="shared" si="598"/>
        <v>119488</v>
      </c>
      <c r="D320" s="153">
        <f>96392+D321</f>
        <v>96392</v>
      </c>
      <c r="E320" s="153">
        <f>23096+E321</f>
        <v>23096</v>
      </c>
      <c r="F320" s="154">
        <f t="shared" si="599"/>
        <v>33703</v>
      </c>
      <c r="G320" s="155">
        <f>279+G321</f>
        <v>279</v>
      </c>
      <c r="H320" s="155">
        <f>26539+H321</f>
        <v>31237</v>
      </c>
      <c r="I320" s="155">
        <f>2187+I321</f>
        <v>2187</v>
      </c>
      <c r="J320" s="155">
        <f t="shared" ref="J320" si="684">+J321</f>
        <v>0</v>
      </c>
      <c r="K320" s="155">
        <f t="shared" ref="K320" si="685">+K321</f>
        <v>0</v>
      </c>
      <c r="L320" s="155">
        <f t="shared" ref="L320" si="686">+L321</f>
        <v>0</v>
      </c>
      <c r="M320" s="155">
        <f t="shared" ref="M320" si="687">+M321</f>
        <v>0</v>
      </c>
      <c r="N320" s="156">
        <f>+N321</f>
        <v>0</v>
      </c>
      <c r="O320" s="153">
        <f>+O321</f>
        <v>0</v>
      </c>
      <c r="P320" s="63">
        <f>+P321</f>
        <v>0</v>
      </c>
    </row>
    <row r="321" spans="1:16" ht="15" customHeight="1" x14ac:dyDescent="0.35">
      <c r="A321" s="157" t="s">
        <v>724</v>
      </c>
      <c r="B321" s="151">
        <f t="shared" si="597"/>
        <v>4698</v>
      </c>
      <c r="C321" s="152">
        <f t="shared" si="598"/>
        <v>0</v>
      </c>
      <c r="D321" s="153"/>
      <c r="E321" s="153"/>
      <c r="F321" s="154">
        <f t="shared" si="599"/>
        <v>4698</v>
      </c>
      <c r="G321" s="155"/>
      <c r="H321" s="155">
        <v>4698</v>
      </c>
      <c r="I321" s="155"/>
      <c r="J321" s="155"/>
      <c r="K321" s="155"/>
      <c r="L321" s="155"/>
      <c r="M321" s="155"/>
      <c r="N321" s="156"/>
      <c r="O321" s="155"/>
      <c r="P321" s="63"/>
    </row>
    <row r="322" spans="1:16" ht="24" customHeight="1" x14ac:dyDescent="0.35">
      <c r="A322" s="150" t="s">
        <v>87</v>
      </c>
      <c r="B322" s="151">
        <f t="shared" si="597"/>
        <v>63974</v>
      </c>
      <c r="C322" s="152">
        <f t="shared" si="598"/>
        <v>53634</v>
      </c>
      <c r="D322" s="153">
        <f>41648+D323</f>
        <v>41648</v>
      </c>
      <c r="E322" s="153">
        <f>11986+E323</f>
        <v>11986</v>
      </c>
      <c r="F322" s="154">
        <f t="shared" si="599"/>
        <v>10140</v>
      </c>
      <c r="G322" s="155">
        <f>104+G323</f>
        <v>104</v>
      </c>
      <c r="H322" s="155">
        <f>3394+H323</f>
        <v>3394</v>
      </c>
      <c r="I322" s="155">
        <f>6642+I323</f>
        <v>6642</v>
      </c>
      <c r="J322" s="155">
        <f t="shared" ref="J322" si="688">+J323</f>
        <v>0</v>
      </c>
      <c r="K322" s="155">
        <f t="shared" ref="K322" si="689">+K323</f>
        <v>0</v>
      </c>
      <c r="L322" s="155">
        <f t="shared" ref="L322" si="690">+L323</f>
        <v>0</v>
      </c>
      <c r="M322" s="155">
        <f t="shared" ref="M322" si="691">+M323</f>
        <v>0</v>
      </c>
      <c r="N322" s="156">
        <f>200+N323</f>
        <v>200</v>
      </c>
      <c r="O322" s="153">
        <f>+O323</f>
        <v>0</v>
      </c>
      <c r="P322" s="63">
        <f>+P323</f>
        <v>0</v>
      </c>
    </row>
    <row r="323" spans="1:16" ht="15" customHeight="1" x14ac:dyDescent="0.35">
      <c r="A323" s="157" t="s">
        <v>724</v>
      </c>
      <c r="B323" s="151">
        <f t="shared" si="597"/>
        <v>0</v>
      </c>
      <c r="C323" s="152">
        <f t="shared" si="598"/>
        <v>0</v>
      </c>
      <c r="D323" s="153"/>
      <c r="E323" s="153"/>
      <c r="F323" s="154">
        <f t="shared" si="599"/>
        <v>0</v>
      </c>
      <c r="G323" s="155"/>
      <c r="H323" s="155"/>
      <c r="I323" s="155"/>
      <c r="J323" s="155"/>
      <c r="K323" s="155"/>
      <c r="L323" s="155"/>
      <c r="M323" s="162"/>
      <c r="N323" s="156"/>
      <c r="O323" s="155"/>
      <c r="P323" s="63"/>
    </row>
    <row r="324" spans="1:16" ht="20.25" customHeight="1" x14ac:dyDescent="0.35">
      <c r="A324" s="150" t="s">
        <v>73</v>
      </c>
      <c r="B324" s="151">
        <f t="shared" si="597"/>
        <v>46290</v>
      </c>
      <c r="C324" s="152">
        <f t="shared" si="598"/>
        <v>33940</v>
      </c>
      <c r="D324" s="153">
        <f>26061+D325</f>
        <v>27571</v>
      </c>
      <c r="E324" s="153">
        <f>6369+E325</f>
        <v>6369</v>
      </c>
      <c r="F324" s="154">
        <f t="shared" si="599"/>
        <v>12350</v>
      </c>
      <c r="G324" s="155">
        <f>38+G325</f>
        <v>38</v>
      </c>
      <c r="H324" s="155">
        <f>5205+H325</f>
        <v>4345</v>
      </c>
      <c r="I324" s="155">
        <f>8617+I325</f>
        <v>7967</v>
      </c>
      <c r="J324" s="155">
        <f t="shared" ref="J324" si="692">+J325</f>
        <v>0</v>
      </c>
      <c r="K324" s="155">
        <f t="shared" ref="K324" si="693">+K325</f>
        <v>0</v>
      </c>
      <c r="L324" s="155">
        <f t="shared" ref="L324" si="694">+L325</f>
        <v>0</v>
      </c>
      <c r="M324" s="155">
        <f t="shared" ref="M324" si="695">+M325</f>
        <v>0</v>
      </c>
      <c r="N324" s="156">
        <f>+N325</f>
        <v>0</v>
      </c>
      <c r="O324" s="153">
        <f>+O325</f>
        <v>0</v>
      </c>
      <c r="P324" s="63">
        <f>+P325</f>
        <v>0</v>
      </c>
    </row>
    <row r="325" spans="1:16" ht="15" customHeight="1" x14ac:dyDescent="0.35">
      <c r="A325" s="157" t="s">
        <v>724</v>
      </c>
      <c r="B325" s="151">
        <f t="shared" si="597"/>
        <v>0</v>
      </c>
      <c r="C325" s="152">
        <f t="shared" si="598"/>
        <v>1510</v>
      </c>
      <c r="D325" s="153">
        <f>860+100+550</f>
        <v>1510</v>
      </c>
      <c r="E325" s="153"/>
      <c r="F325" s="154">
        <f t="shared" si="599"/>
        <v>-1510</v>
      </c>
      <c r="G325" s="155"/>
      <c r="H325" s="155">
        <f>-760-100</f>
        <v>-860</v>
      </c>
      <c r="I325" s="155">
        <f>-100-550</f>
        <v>-650</v>
      </c>
      <c r="J325" s="155"/>
      <c r="K325" s="155"/>
      <c r="L325" s="155"/>
      <c r="M325" s="155"/>
      <c r="N325" s="156"/>
      <c r="O325" s="155"/>
      <c r="P325" s="63"/>
    </row>
    <row r="326" spans="1:16" ht="26.25" customHeight="1" x14ac:dyDescent="0.35">
      <c r="A326" s="150" t="s">
        <v>57</v>
      </c>
      <c r="B326" s="151">
        <f t="shared" si="597"/>
        <v>652222</v>
      </c>
      <c r="C326" s="152">
        <f t="shared" si="598"/>
        <v>597163</v>
      </c>
      <c r="D326" s="153">
        <f>32857+449723+D327</f>
        <v>482580</v>
      </c>
      <c r="E326" s="153">
        <f>7751+106832+E327</f>
        <v>114583</v>
      </c>
      <c r="F326" s="154">
        <f t="shared" si="599"/>
        <v>55059</v>
      </c>
      <c r="G326" s="155">
        <f>306+G327</f>
        <v>306</v>
      </c>
      <c r="H326" s="155">
        <f>36269+H327</f>
        <v>36269</v>
      </c>
      <c r="I326" s="155">
        <f>18484+I327</f>
        <v>18484</v>
      </c>
      <c r="J326" s="155">
        <f t="shared" ref="J326" si="696">+J327</f>
        <v>0</v>
      </c>
      <c r="K326" s="155">
        <f t="shared" ref="K326" si="697">+K327</f>
        <v>0</v>
      </c>
      <c r="L326" s="155">
        <f t="shared" ref="L326" si="698">+L327</f>
        <v>0</v>
      </c>
      <c r="M326" s="155">
        <f t="shared" ref="M326" si="699">+M327</f>
        <v>0</v>
      </c>
      <c r="N326" s="156">
        <f>+N327</f>
        <v>0</v>
      </c>
      <c r="O326" s="153">
        <f>+O327</f>
        <v>0</v>
      </c>
      <c r="P326" s="63">
        <f>+P327</f>
        <v>0</v>
      </c>
    </row>
    <row r="327" spans="1:16" ht="15" customHeight="1" x14ac:dyDescent="0.35">
      <c r="A327" s="157" t="s">
        <v>724</v>
      </c>
      <c r="B327" s="151">
        <f t="shared" si="597"/>
        <v>0</v>
      </c>
      <c r="C327" s="152">
        <f t="shared" si="598"/>
        <v>0</v>
      </c>
      <c r="D327" s="153"/>
      <c r="E327" s="153"/>
      <c r="F327" s="154">
        <f t="shared" si="599"/>
        <v>0</v>
      </c>
      <c r="G327" s="155"/>
      <c r="H327" s="155"/>
      <c r="I327" s="155"/>
      <c r="J327" s="155"/>
      <c r="K327" s="155"/>
      <c r="L327" s="155"/>
      <c r="M327" s="155"/>
      <c r="N327" s="156"/>
      <c r="O327" s="155"/>
      <c r="P327" s="63"/>
    </row>
    <row r="328" spans="1:16" ht="17.25" customHeight="1" x14ac:dyDescent="0.35">
      <c r="A328" s="150" t="s">
        <v>20</v>
      </c>
      <c r="B328" s="151">
        <f t="shared" si="597"/>
        <v>60464</v>
      </c>
      <c r="C328" s="152">
        <f t="shared" si="598"/>
        <v>3100</v>
      </c>
      <c r="D328" s="153">
        <f>3100+D329</f>
        <v>3100</v>
      </c>
      <c r="E328" s="153">
        <f>+E329</f>
        <v>0</v>
      </c>
      <c r="F328" s="154">
        <f t="shared" si="599"/>
        <v>57364</v>
      </c>
      <c r="G328" s="155">
        <f>+G329</f>
        <v>0</v>
      </c>
      <c r="H328" s="155">
        <f>51649+H329</f>
        <v>51649</v>
      </c>
      <c r="I328" s="155">
        <f>5715+I329</f>
        <v>5715</v>
      </c>
      <c r="J328" s="155">
        <f t="shared" ref="J328" si="700">+J329</f>
        <v>0</v>
      </c>
      <c r="K328" s="155">
        <f t="shared" ref="K328" si="701">+K329</f>
        <v>0</v>
      </c>
      <c r="L328" s="155">
        <f t="shared" ref="L328" si="702">+L329</f>
        <v>0</v>
      </c>
      <c r="M328" s="155">
        <f t="shared" ref="M328" si="703">+M329</f>
        <v>0</v>
      </c>
      <c r="N328" s="156">
        <f>+N329</f>
        <v>0</v>
      </c>
      <c r="O328" s="153">
        <f>+O329</f>
        <v>0</v>
      </c>
      <c r="P328" s="63">
        <f>+P329</f>
        <v>0</v>
      </c>
    </row>
    <row r="329" spans="1:16" ht="15" customHeight="1" x14ac:dyDescent="0.35">
      <c r="A329" s="157" t="s">
        <v>724</v>
      </c>
      <c r="B329" s="151">
        <f t="shared" si="597"/>
        <v>0</v>
      </c>
      <c r="C329" s="152">
        <f t="shared" si="598"/>
        <v>0</v>
      </c>
      <c r="D329" s="153"/>
      <c r="E329" s="153"/>
      <c r="F329" s="154">
        <f t="shared" si="599"/>
        <v>0</v>
      </c>
      <c r="G329" s="155"/>
      <c r="H329" s="155"/>
      <c r="I329" s="155"/>
      <c r="J329" s="155"/>
      <c r="K329" s="155"/>
      <c r="L329" s="155"/>
      <c r="M329" s="155"/>
      <c r="N329" s="156"/>
      <c r="O329" s="155"/>
      <c r="P329" s="63"/>
    </row>
    <row r="330" spans="1:16" ht="15" customHeight="1" x14ac:dyDescent="0.35">
      <c r="A330" s="150" t="s">
        <v>88</v>
      </c>
      <c r="B330" s="151">
        <f>SUM(C330+F330,L330,M330,N330,O330,P330)</f>
        <v>10952</v>
      </c>
      <c r="C330" s="152">
        <f t="shared" si="598"/>
        <v>2000</v>
      </c>
      <c r="D330" s="153">
        <f>2000+D331</f>
        <v>2000</v>
      </c>
      <c r="E330" s="153">
        <f>+E331</f>
        <v>0</v>
      </c>
      <c r="F330" s="154">
        <f t="shared" si="599"/>
        <v>8952</v>
      </c>
      <c r="G330" s="155">
        <f>+G331</f>
        <v>0</v>
      </c>
      <c r="H330" s="155">
        <f>6142+H331</f>
        <v>6142</v>
      </c>
      <c r="I330" s="155">
        <f>2810+I331</f>
        <v>2810</v>
      </c>
      <c r="J330" s="155">
        <f t="shared" ref="J330" si="704">+J331</f>
        <v>0</v>
      </c>
      <c r="K330" s="155">
        <f t="shared" ref="K330" si="705">+K331</f>
        <v>0</v>
      </c>
      <c r="L330" s="155">
        <f t="shared" ref="L330" si="706">+L331</f>
        <v>0</v>
      </c>
      <c r="M330" s="155">
        <f t="shared" ref="M330" si="707">+M331</f>
        <v>0</v>
      </c>
      <c r="N330" s="156">
        <f>+N331</f>
        <v>0</v>
      </c>
      <c r="O330" s="153">
        <f>+O331</f>
        <v>0</v>
      </c>
      <c r="P330" s="63">
        <f>+P331</f>
        <v>0</v>
      </c>
    </row>
    <row r="331" spans="1:16" ht="15" customHeight="1" x14ac:dyDescent="0.35">
      <c r="A331" s="157" t="s">
        <v>724</v>
      </c>
      <c r="B331" s="151">
        <f t="shared" si="597"/>
        <v>0</v>
      </c>
      <c r="C331" s="152">
        <f t="shared" si="598"/>
        <v>0</v>
      </c>
      <c r="D331" s="153"/>
      <c r="E331" s="153"/>
      <c r="F331" s="154">
        <f t="shared" si="599"/>
        <v>0</v>
      </c>
      <c r="G331" s="155"/>
      <c r="H331" s="155"/>
      <c r="I331" s="155"/>
      <c r="J331" s="155"/>
      <c r="K331" s="155"/>
      <c r="L331" s="155"/>
      <c r="M331" s="155"/>
      <c r="N331" s="156"/>
      <c r="O331" s="155"/>
      <c r="P331" s="63"/>
    </row>
    <row r="332" spans="1:16" ht="15" customHeight="1" x14ac:dyDescent="0.35">
      <c r="A332" s="150" t="s">
        <v>124</v>
      </c>
      <c r="B332" s="151">
        <f t="shared" si="597"/>
        <v>14384</v>
      </c>
      <c r="C332" s="152">
        <f t="shared" si="598"/>
        <v>388</v>
      </c>
      <c r="D332" s="153">
        <f>350+D333</f>
        <v>350</v>
      </c>
      <c r="E332" s="153">
        <f>38+E333</f>
        <v>38</v>
      </c>
      <c r="F332" s="154">
        <f t="shared" si="599"/>
        <v>13996</v>
      </c>
      <c r="G332" s="155">
        <f>24+G333</f>
        <v>24</v>
      </c>
      <c r="H332" s="155">
        <f>10710+H333</f>
        <v>10710</v>
      </c>
      <c r="I332" s="155">
        <f>3262+I333</f>
        <v>3262</v>
      </c>
      <c r="J332" s="155">
        <f t="shared" ref="J332" si="708">+J333</f>
        <v>0</v>
      </c>
      <c r="K332" s="155">
        <f t="shared" ref="K332" si="709">+K333</f>
        <v>0</v>
      </c>
      <c r="L332" s="155">
        <f t="shared" ref="L332" si="710">+L333</f>
        <v>0</v>
      </c>
      <c r="M332" s="155">
        <f t="shared" ref="M332" si="711">+M333</f>
        <v>0</v>
      </c>
      <c r="N332" s="156">
        <f>+N333</f>
        <v>0</v>
      </c>
      <c r="O332" s="153">
        <f>+O333</f>
        <v>0</v>
      </c>
      <c r="P332" s="63">
        <f>+P333</f>
        <v>0</v>
      </c>
    </row>
    <row r="333" spans="1:16" ht="15" customHeight="1" x14ac:dyDescent="0.35">
      <c r="A333" s="157" t="s">
        <v>724</v>
      </c>
      <c r="B333" s="151">
        <f t="shared" si="597"/>
        <v>0</v>
      </c>
      <c r="C333" s="152">
        <f t="shared" si="598"/>
        <v>0</v>
      </c>
      <c r="D333" s="153"/>
      <c r="E333" s="153"/>
      <c r="F333" s="154">
        <f t="shared" si="599"/>
        <v>0</v>
      </c>
      <c r="G333" s="155"/>
      <c r="H333" s="155"/>
      <c r="I333" s="155"/>
      <c r="J333" s="155"/>
      <c r="K333" s="155"/>
      <c r="L333" s="155"/>
      <c r="M333" s="155"/>
      <c r="N333" s="156"/>
      <c r="O333" s="155"/>
      <c r="P333" s="63"/>
    </row>
    <row r="334" spans="1:16" ht="15" customHeight="1" x14ac:dyDescent="0.35">
      <c r="A334" s="150" t="s">
        <v>21</v>
      </c>
      <c r="B334" s="151">
        <f t="shared" si="597"/>
        <v>9977</v>
      </c>
      <c r="C334" s="152">
        <f t="shared" si="598"/>
        <v>657</v>
      </c>
      <c r="D334" s="153">
        <f>500+D335</f>
        <v>500</v>
      </c>
      <c r="E334" s="153">
        <f>157+E335</f>
        <v>157</v>
      </c>
      <c r="F334" s="154">
        <f t="shared" si="599"/>
        <v>9320</v>
      </c>
      <c r="G334" s="155">
        <f>+G335</f>
        <v>0</v>
      </c>
      <c r="H334" s="155">
        <f>3812+H335</f>
        <v>3812</v>
      </c>
      <c r="I334" s="155">
        <f>5508+I335</f>
        <v>5508</v>
      </c>
      <c r="J334" s="155">
        <f t="shared" ref="J334" si="712">+J335</f>
        <v>0</v>
      </c>
      <c r="K334" s="155">
        <f t="shared" ref="K334" si="713">+K335</f>
        <v>0</v>
      </c>
      <c r="L334" s="155">
        <f t="shared" ref="L334" si="714">+L335</f>
        <v>0</v>
      </c>
      <c r="M334" s="155">
        <f t="shared" ref="M334" si="715">+M335</f>
        <v>0</v>
      </c>
      <c r="N334" s="156">
        <f>+N335</f>
        <v>0</v>
      </c>
      <c r="O334" s="153">
        <f>+O335</f>
        <v>0</v>
      </c>
      <c r="P334" s="63">
        <f>+P335</f>
        <v>0</v>
      </c>
    </row>
    <row r="335" spans="1:16" ht="15" customHeight="1" x14ac:dyDescent="0.35">
      <c r="A335" s="157" t="s">
        <v>724</v>
      </c>
      <c r="B335" s="151">
        <f t="shared" si="597"/>
        <v>0</v>
      </c>
      <c r="C335" s="152">
        <f t="shared" si="598"/>
        <v>0</v>
      </c>
      <c r="D335" s="153"/>
      <c r="E335" s="153"/>
      <c r="F335" s="154">
        <f t="shared" si="599"/>
        <v>0</v>
      </c>
      <c r="G335" s="155"/>
      <c r="H335" s="155"/>
      <c r="I335" s="155"/>
      <c r="J335" s="155"/>
      <c r="K335" s="155"/>
      <c r="L335" s="155"/>
      <c r="M335" s="155"/>
      <c r="N335" s="156"/>
      <c r="O335" s="155"/>
      <c r="P335" s="63"/>
    </row>
    <row r="336" spans="1:16" ht="15" customHeight="1" x14ac:dyDescent="0.35">
      <c r="A336" s="150" t="s">
        <v>22</v>
      </c>
      <c r="B336" s="151">
        <f t="shared" si="597"/>
        <v>4992</v>
      </c>
      <c r="C336" s="152">
        <f t="shared" si="598"/>
        <v>320</v>
      </c>
      <c r="D336" s="153">
        <f>150+D337</f>
        <v>150</v>
      </c>
      <c r="E336" s="153">
        <f>170+E337</f>
        <v>170</v>
      </c>
      <c r="F336" s="154">
        <f t="shared" si="599"/>
        <v>4672</v>
      </c>
      <c r="G336" s="155">
        <f>16+G337</f>
        <v>16</v>
      </c>
      <c r="H336" s="155">
        <f>2506+H337</f>
        <v>2506</v>
      </c>
      <c r="I336" s="155">
        <f>2150+I337</f>
        <v>2150</v>
      </c>
      <c r="J336" s="155">
        <f t="shared" ref="J336" si="716">+J337</f>
        <v>0</v>
      </c>
      <c r="K336" s="155">
        <f t="shared" ref="K336" si="717">+K337</f>
        <v>0</v>
      </c>
      <c r="L336" s="155">
        <f t="shared" ref="L336" si="718">+L337</f>
        <v>0</v>
      </c>
      <c r="M336" s="155">
        <f t="shared" ref="M336" si="719">+M337</f>
        <v>0</v>
      </c>
      <c r="N336" s="156">
        <f>+N337</f>
        <v>0</v>
      </c>
      <c r="O336" s="153">
        <f>+O337</f>
        <v>0</v>
      </c>
      <c r="P336" s="63">
        <f>+P337</f>
        <v>0</v>
      </c>
    </row>
    <row r="337" spans="1:16" ht="15" customHeight="1" x14ac:dyDescent="0.35">
      <c r="A337" s="157" t="s">
        <v>724</v>
      </c>
      <c r="B337" s="151">
        <f t="shared" si="597"/>
        <v>0</v>
      </c>
      <c r="C337" s="152">
        <f t="shared" si="598"/>
        <v>0</v>
      </c>
      <c r="D337" s="153"/>
      <c r="E337" s="153"/>
      <c r="F337" s="154">
        <f t="shared" si="599"/>
        <v>0</v>
      </c>
      <c r="G337" s="155"/>
      <c r="H337" s="155"/>
      <c r="I337" s="155"/>
      <c r="J337" s="155"/>
      <c r="K337" s="155"/>
      <c r="L337" s="155"/>
      <c r="M337" s="155"/>
      <c r="N337" s="156"/>
      <c r="O337" s="155"/>
      <c r="P337" s="63"/>
    </row>
    <row r="338" spans="1:16" ht="15" customHeight="1" x14ac:dyDescent="0.35">
      <c r="A338" s="150" t="s">
        <v>23</v>
      </c>
      <c r="B338" s="151">
        <f t="shared" si="597"/>
        <v>23840</v>
      </c>
      <c r="C338" s="152">
        <f t="shared" si="598"/>
        <v>0</v>
      </c>
      <c r="D338" s="153">
        <f>+D339</f>
        <v>0</v>
      </c>
      <c r="E338" s="153">
        <f>+E339</f>
        <v>0</v>
      </c>
      <c r="F338" s="154">
        <f t="shared" si="599"/>
        <v>23840</v>
      </c>
      <c r="G338" s="155">
        <f>+G339</f>
        <v>0</v>
      </c>
      <c r="H338" s="155">
        <f>15040+H339</f>
        <v>15040</v>
      </c>
      <c r="I338" s="155">
        <f>8800+I339</f>
        <v>8800</v>
      </c>
      <c r="J338" s="155">
        <f t="shared" ref="J338" si="720">+J339</f>
        <v>0</v>
      </c>
      <c r="K338" s="155">
        <f t="shared" ref="K338" si="721">+K339</f>
        <v>0</v>
      </c>
      <c r="L338" s="155">
        <f t="shared" ref="L338" si="722">+L339</f>
        <v>0</v>
      </c>
      <c r="M338" s="155">
        <f t="shared" ref="M338" si="723">+M339</f>
        <v>0</v>
      </c>
      <c r="N338" s="156">
        <f>+N339</f>
        <v>0</v>
      </c>
      <c r="O338" s="153">
        <f>+O339</f>
        <v>0</v>
      </c>
      <c r="P338" s="63">
        <f>+P339</f>
        <v>0</v>
      </c>
    </row>
    <row r="339" spans="1:16" ht="15" customHeight="1" x14ac:dyDescent="0.35">
      <c r="A339" s="157" t="s">
        <v>724</v>
      </c>
      <c r="B339" s="151">
        <f t="shared" ref="B339:B402" si="724">SUM(C339+F339,L339,M339,N339,O339,P339)</f>
        <v>0</v>
      </c>
      <c r="C339" s="152">
        <f t="shared" ref="C339:C402" si="725">D339+E339</f>
        <v>0</v>
      </c>
      <c r="D339" s="153"/>
      <c r="E339" s="153"/>
      <c r="F339" s="154">
        <f t="shared" ref="F339:F402" si="726">SUM(G339,H339,I339,J339,K339)</f>
        <v>0</v>
      </c>
      <c r="G339" s="155"/>
      <c r="H339" s="155"/>
      <c r="I339" s="155"/>
      <c r="J339" s="155"/>
      <c r="K339" s="155"/>
      <c r="L339" s="155"/>
      <c r="M339" s="162"/>
      <c r="N339" s="156"/>
      <c r="O339" s="155"/>
      <c r="P339" s="63"/>
    </row>
    <row r="340" spans="1:16" ht="15" customHeight="1" x14ac:dyDescent="0.35">
      <c r="A340" s="150" t="s">
        <v>72</v>
      </c>
      <c r="B340" s="151">
        <f t="shared" si="724"/>
        <v>16267</v>
      </c>
      <c r="C340" s="152">
        <f t="shared" si="725"/>
        <v>245</v>
      </c>
      <c r="D340" s="159">
        <f>200+D341</f>
        <v>200</v>
      </c>
      <c r="E340" s="159">
        <f>45+E341</f>
        <v>45</v>
      </c>
      <c r="F340" s="154">
        <f t="shared" si="726"/>
        <v>16022</v>
      </c>
      <c r="G340" s="162">
        <f>24+G341</f>
        <v>24</v>
      </c>
      <c r="H340" s="162">
        <f>12488+H341</f>
        <v>12488</v>
      </c>
      <c r="I340" s="162">
        <f>3510+I341</f>
        <v>3510</v>
      </c>
      <c r="J340" s="155">
        <f t="shared" ref="J340" si="727">+J341</f>
        <v>0</v>
      </c>
      <c r="K340" s="155">
        <f t="shared" ref="K340" si="728">+K341</f>
        <v>0</v>
      </c>
      <c r="L340" s="155">
        <f t="shared" ref="L340" si="729">+L341</f>
        <v>0</v>
      </c>
      <c r="M340" s="155">
        <f t="shared" ref="M340" si="730">+M341</f>
        <v>0</v>
      </c>
      <c r="N340" s="156">
        <f>+N341</f>
        <v>0</v>
      </c>
      <c r="O340" s="153">
        <f>+O341</f>
        <v>0</v>
      </c>
      <c r="P340" s="63">
        <f>+P341</f>
        <v>0</v>
      </c>
    </row>
    <row r="341" spans="1:16" ht="15" customHeight="1" x14ac:dyDescent="0.35">
      <c r="A341" s="157" t="s">
        <v>724</v>
      </c>
      <c r="B341" s="151">
        <f t="shared" si="724"/>
        <v>0</v>
      </c>
      <c r="C341" s="152">
        <f t="shared" si="725"/>
        <v>0</v>
      </c>
      <c r="D341" s="159"/>
      <c r="E341" s="159"/>
      <c r="F341" s="154">
        <f t="shared" si="726"/>
        <v>0</v>
      </c>
      <c r="G341" s="162"/>
      <c r="H341" s="162"/>
      <c r="I341" s="162"/>
      <c r="J341" s="155"/>
      <c r="K341" s="155"/>
      <c r="L341" s="162"/>
      <c r="M341" s="155"/>
      <c r="N341" s="160"/>
      <c r="O341" s="162"/>
      <c r="P341" s="63"/>
    </row>
    <row r="342" spans="1:16" ht="15" customHeight="1" x14ac:dyDescent="0.35">
      <c r="A342" s="150" t="s">
        <v>123</v>
      </c>
      <c r="B342" s="151">
        <f t="shared" si="724"/>
        <v>2110</v>
      </c>
      <c r="C342" s="152">
        <f t="shared" si="725"/>
        <v>100</v>
      </c>
      <c r="D342" s="153">
        <f>100+D343</f>
        <v>100</v>
      </c>
      <c r="E342" s="153">
        <f>+E343</f>
        <v>0</v>
      </c>
      <c r="F342" s="154">
        <f t="shared" si="726"/>
        <v>2010</v>
      </c>
      <c r="G342" s="155">
        <f>+G343</f>
        <v>0</v>
      </c>
      <c r="H342" s="155">
        <f>1060+H343</f>
        <v>1060</v>
      </c>
      <c r="I342" s="155">
        <f>950+I343</f>
        <v>950</v>
      </c>
      <c r="J342" s="155">
        <f t="shared" ref="J342" si="731">+J343</f>
        <v>0</v>
      </c>
      <c r="K342" s="155">
        <f t="shared" ref="K342" si="732">+K343</f>
        <v>0</v>
      </c>
      <c r="L342" s="155">
        <f t="shared" ref="L342" si="733">+L343</f>
        <v>0</v>
      </c>
      <c r="M342" s="155">
        <f t="shared" ref="M342" si="734">+M343</f>
        <v>0</v>
      </c>
      <c r="N342" s="156">
        <f>+N343</f>
        <v>0</v>
      </c>
      <c r="O342" s="153">
        <f>+O343</f>
        <v>0</v>
      </c>
      <c r="P342" s="63">
        <f>+P343</f>
        <v>0</v>
      </c>
    </row>
    <row r="343" spans="1:16" ht="15" customHeight="1" x14ac:dyDescent="0.35">
      <c r="A343" s="157" t="s">
        <v>724</v>
      </c>
      <c r="B343" s="151">
        <f t="shared" si="724"/>
        <v>0</v>
      </c>
      <c r="C343" s="152">
        <f t="shared" si="725"/>
        <v>0</v>
      </c>
      <c r="D343" s="153"/>
      <c r="E343" s="153"/>
      <c r="F343" s="154">
        <f t="shared" si="726"/>
        <v>0</v>
      </c>
      <c r="G343" s="155"/>
      <c r="H343" s="155"/>
      <c r="I343" s="155"/>
      <c r="J343" s="155"/>
      <c r="K343" s="155"/>
      <c r="L343" s="155"/>
      <c r="M343" s="155"/>
      <c r="N343" s="156"/>
      <c r="O343" s="155"/>
      <c r="P343" s="63"/>
    </row>
    <row r="344" spans="1:16" ht="15" customHeight="1" x14ac:dyDescent="0.35">
      <c r="A344" s="150" t="s">
        <v>91</v>
      </c>
      <c r="B344" s="151">
        <f t="shared" si="724"/>
        <v>11751</v>
      </c>
      <c r="C344" s="152">
        <f t="shared" si="725"/>
        <v>232</v>
      </c>
      <c r="D344" s="153">
        <f>200+D345</f>
        <v>200</v>
      </c>
      <c r="E344" s="153">
        <f>32+E345</f>
        <v>32</v>
      </c>
      <c r="F344" s="154">
        <f t="shared" si="726"/>
        <v>11519</v>
      </c>
      <c r="G344" s="155">
        <f>+G345</f>
        <v>0</v>
      </c>
      <c r="H344" s="155">
        <f>4877+H345</f>
        <v>4877</v>
      </c>
      <c r="I344" s="155">
        <f>6642+I345</f>
        <v>6642</v>
      </c>
      <c r="J344" s="155">
        <f t="shared" ref="J344" si="735">+J345</f>
        <v>0</v>
      </c>
      <c r="K344" s="155">
        <f t="shared" ref="K344" si="736">+K345</f>
        <v>0</v>
      </c>
      <c r="L344" s="155">
        <f t="shared" ref="L344" si="737">+L345</f>
        <v>0</v>
      </c>
      <c r="M344" s="155">
        <f t="shared" ref="M344" si="738">+M345</f>
        <v>0</v>
      </c>
      <c r="N344" s="156">
        <f>+N345</f>
        <v>0</v>
      </c>
      <c r="O344" s="153">
        <f>+O345</f>
        <v>0</v>
      </c>
      <c r="P344" s="63">
        <f>+P345</f>
        <v>0</v>
      </c>
    </row>
    <row r="345" spans="1:16" ht="15" customHeight="1" x14ac:dyDescent="0.35">
      <c r="A345" s="157" t="s">
        <v>724</v>
      </c>
      <c r="B345" s="151">
        <f t="shared" si="724"/>
        <v>0</v>
      </c>
      <c r="C345" s="152">
        <f t="shared" si="725"/>
        <v>0</v>
      </c>
      <c r="D345" s="153"/>
      <c r="E345" s="153"/>
      <c r="F345" s="154">
        <f t="shared" si="726"/>
        <v>0</v>
      </c>
      <c r="G345" s="155"/>
      <c r="H345" s="155"/>
      <c r="I345" s="155"/>
      <c r="J345" s="155"/>
      <c r="K345" s="155"/>
      <c r="L345" s="155"/>
      <c r="M345" s="155"/>
      <c r="N345" s="156"/>
      <c r="O345" s="155"/>
      <c r="P345" s="63"/>
    </row>
    <row r="346" spans="1:16" ht="15" customHeight="1" x14ac:dyDescent="0.35">
      <c r="A346" s="150" t="s">
        <v>129</v>
      </c>
      <c r="B346" s="151">
        <f t="shared" si="724"/>
        <v>6392</v>
      </c>
      <c r="C346" s="152">
        <f t="shared" si="725"/>
        <v>222</v>
      </c>
      <c r="D346" s="153">
        <f>122+D347</f>
        <v>122</v>
      </c>
      <c r="E346" s="153">
        <f>100+E347</f>
        <v>100</v>
      </c>
      <c r="F346" s="154">
        <f t="shared" si="726"/>
        <v>6170</v>
      </c>
      <c r="G346" s="155">
        <f>20+G347</f>
        <v>20</v>
      </c>
      <c r="H346" s="155">
        <f>3185+H347</f>
        <v>3185</v>
      </c>
      <c r="I346" s="155">
        <f>2965+I347</f>
        <v>2965</v>
      </c>
      <c r="J346" s="155">
        <f t="shared" ref="J346" si="739">+J347</f>
        <v>0</v>
      </c>
      <c r="K346" s="155">
        <f t="shared" ref="K346" si="740">+K347</f>
        <v>0</v>
      </c>
      <c r="L346" s="155">
        <f t="shared" ref="L346" si="741">+L347</f>
        <v>0</v>
      </c>
      <c r="M346" s="155">
        <f t="shared" ref="M346" si="742">+M347</f>
        <v>0</v>
      </c>
      <c r="N346" s="156">
        <f>+N347</f>
        <v>0</v>
      </c>
      <c r="O346" s="153">
        <f>+O347</f>
        <v>0</v>
      </c>
      <c r="P346" s="63">
        <f>+P347</f>
        <v>0</v>
      </c>
    </row>
    <row r="347" spans="1:16" ht="15" customHeight="1" x14ac:dyDescent="0.35">
      <c r="A347" s="157" t="s">
        <v>724</v>
      </c>
      <c r="B347" s="151">
        <f t="shared" si="724"/>
        <v>0</v>
      </c>
      <c r="C347" s="152">
        <f t="shared" si="725"/>
        <v>0</v>
      </c>
      <c r="D347" s="153"/>
      <c r="E347" s="153"/>
      <c r="F347" s="154">
        <f t="shared" si="726"/>
        <v>0</v>
      </c>
      <c r="G347" s="155"/>
      <c r="H347" s="155"/>
      <c r="I347" s="155"/>
      <c r="J347" s="155"/>
      <c r="K347" s="155"/>
      <c r="L347" s="155"/>
      <c r="M347" s="155"/>
      <c r="N347" s="156"/>
      <c r="O347" s="155"/>
      <c r="P347" s="63"/>
    </row>
    <row r="348" spans="1:16" ht="15" customHeight="1" x14ac:dyDescent="0.35">
      <c r="A348" s="150" t="s">
        <v>121</v>
      </c>
      <c r="B348" s="151">
        <f t="shared" si="724"/>
        <v>2782</v>
      </c>
      <c r="C348" s="152">
        <f t="shared" si="725"/>
        <v>0</v>
      </c>
      <c r="D348" s="153">
        <f>+D349</f>
        <v>0</v>
      </c>
      <c r="E348" s="153">
        <f>+E349</f>
        <v>0</v>
      </c>
      <c r="F348" s="154">
        <f t="shared" si="726"/>
        <v>2782</v>
      </c>
      <c r="G348" s="155">
        <f>+G349</f>
        <v>0</v>
      </c>
      <c r="H348" s="155">
        <f>1382+H349</f>
        <v>1382</v>
      </c>
      <c r="I348" s="155">
        <f>1400+I349</f>
        <v>1400</v>
      </c>
      <c r="J348" s="155">
        <f t="shared" ref="J348" si="743">+J349</f>
        <v>0</v>
      </c>
      <c r="K348" s="155">
        <f t="shared" ref="K348" si="744">+K349</f>
        <v>0</v>
      </c>
      <c r="L348" s="155">
        <f t="shared" ref="L348" si="745">+L349</f>
        <v>0</v>
      </c>
      <c r="M348" s="155">
        <f t="shared" ref="M348" si="746">+M349</f>
        <v>0</v>
      </c>
      <c r="N348" s="156">
        <f>+N349</f>
        <v>0</v>
      </c>
      <c r="O348" s="153">
        <f>+O349</f>
        <v>0</v>
      </c>
      <c r="P348" s="63">
        <f>+P349</f>
        <v>0</v>
      </c>
    </row>
    <row r="349" spans="1:16" ht="15" customHeight="1" x14ac:dyDescent="0.35">
      <c r="A349" s="157" t="s">
        <v>724</v>
      </c>
      <c r="B349" s="151">
        <f t="shared" si="724"/>
        <v>0</v>
      </c>
      <c r="C349" s="152">
        <f t="shared" si="725"/>
        <v>0</v>
      </c>
      <c r="D349" s="153"/>
      <c r="E349" s="153"/>
      <c r="F349" s="154">
        <f t="shared" si="726"/>
        <v>0</v>
      </c>
      <c r="G349" s="155"/>
      <c r="H349" s="155"/>
      <c r="I349" s="155"/>
      <c r="J349" s="155"/>
      <c r="K349" s="155"/>
      <c r="L349" s="155"/>
      <c r="M349" s="162"/>
      <c r="N349" s="156"/>
      <c r="O349" s="155"/>
      <c r="P349" s="63"/>
    </row>
    <row r="350" spans="1:16" ht="18.75" customHeight="1" x14ac:dyDescent="0.35">
      <c r="A350" s="150" t="s">
        <v>115</v>
      </c>
      <c r="B350" s="151">
        <f t="shared" si="724"/>
        <v>14580</v>
      </c>
      <c r="C350" s="152">
        <f t="shared" si="725"/>
        <v>300</v>
      </c>
      <c r="D350" s="163">
        <f>100+D351</f>
        <v>100</v>
      </c>
      <c r="E350" s="163">
        <f>200+E351</f>
        <v>200</v>
      </c>
      <c r="F350" s="154">
        <f t="shared" si="726"/>
        <v>14280</v>
      </c>
      <c r="G350" s="162">
        <f>40+G351</f>
        <v>40</v>
      </c>
      <c r="H350" s="162">
        <f>7880+H351</f>
        <v>7880</v>
      </c>
      <c r="I350" s="162">
        <f>6360+I351</f>
        <v>6360</v>
      </c>
      <c r="J350" s="155">
        <f t="shared" ref="J350" si="747">+J351</f>
        <v>0</v>
      </c>
      <c r="K350" s="155">
        <f t="shared" ref="K350" si="748">+K351</f>
        <v>0</v>
      </c>
      <c r="L350" s="155">
        <f t="shared" ref="L350" si="749">+L351</f>
        <v>0</v>
      </c>
      <c r="M350" s="155">
        <f t="shared" ref="M350" si="750">+M351</f>
        <v>0</v>
      </c>
      <c r="N350" s="156">
        <f>+N351</f>
        <v>0</v>
      </c>
      <c r="O350" s="153">
        <f>+O351</f>
        <v>0</v>
      </c>
      <c r="P350" s="63">
        <f>+P351</f>
        <v>0</v>
      </c>
    </row>
    <row r="351" spans="1:16" ht="15" customHeight="1" x14ac:dyDescent="0.35">
      <c r="A351" s="157" t="s">
        <v>724</v>
      </c>
      <c r="B351" s="151">
        <f t="shared" si="724"/>
        <v>0</v>
      </c>
      <c r="C351" s="152">
        <f t="shared" si="725"/>
        <v>0</v>
      </c>
      <c r="D351" s="163"/>
      <c r="E351" s="163"/>
      <c r="F351" s="154">
        <f t="shared" si="726"/>
        <v>0</v>
      </c>
      <c r="G351" s="162"/>
      <c r="H351" s="162"/>
      <c r="I351" s="162"/>
      <c r="J351" s="155"/>
      <c r="K351" s="155"/>
      <c r="L351" s="162"/>
      <c r="M351" s="155"/>
      <c r="N351" s="160"/>
      <c r="O351" s="162"/>
      <c r="P351" s="63"/>
    </row>
    <row r="352" spans="1:16" ht="15" customHeight="1" x14ac:dyDescent="0.35">
      <c r="A352" s="150" t="s">
        <v>139</v>
      </c>
      <c r="B352" s="151">
        <f t="shared" si="724"/>
        <v>8308</v>
      </c>
      <c r="C352" s="152">
        <f t="shared" si="725"/>
        <v>0</v>
      </c>
      <c r="D352" s="164">
        <f>+D353</f>
        <v>0</v>
      </c>
      <c r="E352" s="164">
        <f>+E353</f>
        <v>0</v>
      </c>
      <c r="F352" s="154">
        <f t="shared" si="726"/>
        <v>8308</v>
      </c>
      <c r="G352" s="155">
        <f>8+G353</f>
        <v>8</v>
      </c>
      <c r="H352" s="155">
        <f>6150+H353</f>
        <v>6150</v>
      </c>
      <c r="I352" s="155">
        <f>2150+I353</f>
        <v>2150</v>
      </c>
      <c r="J352" s="155">
        <f t="shared" ref="J352" si="751">+J353</f>
        <v>0</v>
      </c>
      <c r="K352" s="155">
        <f t="shared" ref="K352" si="752">+K353</f>
        <v>0</v>
      </c>
      <c r="L352" s="155">
        <f t="shared" ref="L352" si="753">+L353</f>
        <v>0</v>
      </c>
      <c r="M352" s="155">
        <f t="shared" ref="M352" si="754">+M353</f>
        <v>0</v>
      </c>
      <c r="N352" s="156">
        <f>+N353</f>
        <v>0</v>
      </c>
      <c r="O352" s="153">
        <f>+O353</f>
        <v>0</v>
      </c>
      <c r="P352" s="63">
        <f>+P353</f>
        <v>0</v>
      </c>
    </row>
    <row r="353" spans="1:16" ht="15" customHeight="1" x14ac:dyDescent="0.35">
      <c r="A353" s="157" t="s">
        <v>724</v>
      </c>
      <c r="B353" s="151">
        <f t="shared" si="724"/>
        <v>0</v>
      </c>
      <c r="C353" s="152">
        <f t="shared" si="725"/>
        <v>0</v>
      </c>
      <c r="D353" s="164"/>
      <c r="E353" s="164"/>
      <c r="F353" s="154">
        <f t="shared" si="726"/>
        <v>0</v>
      </c>
      <c r="G353" s="155"/>
      <c r="H353" s="155"/>
      <c r="I353" s="155"/>
      <c r="J353" s="155"/>
      <c r="K353" s="155"/>
      <c r="L353" s="155"/>
      <c r="M353" s="155"/>
      <c r="N353" s="156"/>
      <c r="O353" s="155"/>
      <c r="P353" s="63"/>
    </row>
    <row r="354" spans="1:16" ht="15" customHeight="1" x14ac:dyDescent="0.35">
      <c r="A354" s="150" t="s">
        <v>131</v>
      </c>
      <c r="B354" s="151">
        <f t="shared" si="724"/>
        <v>5420</v>
      </c>
      <c r="C354" s="152">
        <f t="shared" si="725"/>
        <v>150</v>
      </c>
      <c r="D354" s="153">
        <f>+D355</f>
        <v>0</v>
      </c>
      <c r="E354" s="153">
        <f>150+E355</f>
        <v>150</v>
      </c>
      <c r="F354" s="154">
        <f t="shared" si="726"/>
        <v>5270</v>
      </c>
      <c r="G354" s="155">
        <f>30+G355</f>
        <v>30</v>
      </c>
      <c r="H354" s="155">
        <f>3460+H355</f>
        <v>3460</v>
      </c>
      <c r="I354" s="155">
        <f>1780+I355</f>
        <v>1780</v>
      </c>
      <c r="J354" s="155">
        <f t="shared" ref="J354" si="755">+J355</f>
        <v>0</v>
      </c>
      <c r="K354" s="155">
        <f t="shared" ref="K354" si="756">+K355</f>
        <v>0</v>
      </c>
      <c r="L354" s="155">
        <f t="shared" ref="L354" si="757">+L355</f>
        <v>0</v>
      </c>
      <c r="M354" s="155">
        <f t="shared" ref="M354" si="758">+M355</f>
        <v>0</v>
      </c>
      <c r="N354" s="156">
        <f>+N355</f>
        <v>0</v>
      </c>
      <c r="O354" s="153">
        <f>+O355</f>
        <v>0</v>
      </c>
      <c r="P354" s="63">
        <f>+P355</f>
        <v>0</v>
      </c>
    </row>
    <row r="355" spans="1:16" ht="15" customHeight="1" x14ac:dyDescent="0.35">
      <c r="A355" s="157" t="s">
        <v>724</v>
      </c>
      <c r="B355" s="151">
        <f t="shared" si="724"/>
        <v>0</v>
      </c>
      <c r="C355" s="152">
        <f t="shared" si="725"/>
        <v>0</v>
      </c>
      <c r="D355" s="153"/>
      <c r="E355" s="153"/>
      <c r="F355" s="154">
        <f t="shared" si="726"/>
        <v>0</v>
      </c>
      <c r="G355" s="155"/>
      <c r="H355" s="155"/>
      <c r="I355" s="155"/>
      <c r="J355" s="155"/>
      <c r="K355" s="155"/>
      <c r="L355" s="155"/>
      <c r="M355" s="155"/>
      <c r="N355" s="156"/>
      <c r="O355" s="155"/>
      <c r="P355" s="63"/>
    </row>
    <row r="356" spans="1:16" ht="15" customHeight="1" x14ac:dyDescent="0.35">
      <c r="A356" s="150" t="s">
        <v>24</v>
      </c>
      <c r="B356" s="151">
        <f t="shared" si="724"/>
        <v>14579</v>
      </c>
      <c r="C356" s="152">
        <f t="shared" si="725"/>
        <v>600</v>
      </c>
      <c r="D356" s="153">
        <f>500+D357</f>
        <v>500</v>
      </c>
      <c r="E356" s="153">
        <f>100+E357</f>
        <v>100</v>
      </c>
      <c r="F356" s="154">
        <f t="shared" si="726"/>
        <v>13979</v>
      </c>
      <c r="G356" s="155">
        <f>40+G357</f>
        <v>40</v>
      </c>
      <c r="H356" s="155">
        <f>7981+H357</f>
        <v>7981</v>
      </c>
      <c r="I356" s="155">
        <f>5958+I357</f>
        <v>5958</v>
      </c>
      <c r="J356" s="155">
        <f t="shared" ref="J356" si="759">+J357</f>
        <v>0</v>
      </c>
      <c r="K356" s="155">
        <f t="shared" ref="K356" si="760">+K357</f>
        <v>0</v>
      </c>
      <c r="L356" s="155">
        <f t="shared" ref="L356" si="761">+L357</f>
        <v>0</v>
      </c>
      <c r="M356" s="155">
        <f t="shared" ref="M356" si="762">+M357</f>
        <v>0</v>
      </c>
      <c r="N356" s="156">
        <f>+N357</f>
        <v>0</v>
      </c>
      <c r="O356" s="153">
        <f>+O357</f>
        <v>0</v>
      </c>
      <c r="P356" s="63">
        <f>+P357</f>
        <v>0</v>
      </c>
    </row>
    <row r="357" spans="1:16" ht="15" customHeight="1" x14ac:dyDescent="0.35">
      <c r="A357" s="157" t="s">
        <v>724</v>
      </c>
      <c r="B357" s="151">
        <f t="shared" si="724"/>
        <v>0</v>
      </c>
      <c r="C357" s="152">
        <f t="shared" si="725"/>
        <v>0</v>
      </c>
      <c r="D357" s="153"/>
      <c r="E357" s="153"/>
      <c r="F357" s="154">
        <f t="shared" si="726"/>
        <v>0</v>
      </c>
      <c r="G357" s="155"/>
      <c r="H357" s="155"/>
      <c r="I357" s="155"/>
      <c r="J357" s="155"/>
      <c r="K357" s="155"/>
      <c r="L357" s="155"/>
      <c r="M357" s="155"/>
      <c r="N357" s="156"/>
      <c r="O357" s="155"/>
      <c r="P357" s="63"/>
    </row>
    <row r="358" spans="1:16" ht="15" customHeight="1" x14ac:dyDescent="0.35">
      <c r="A358" s="150" t="s">
        <v>90</v>
      </c>
      <c r="B358" s="151">
        <f t="shared" si="724"/>
        <v>371670</v>
      </c>
      <c r="C358" s="152">
        <f t="shared" si="725"/>
        <v>317321</v>
      </c>
      <c r="D358" s="153">
        <f>19851+233050+4000+D359</f>
        <v>256901</v>
      </c>
      <c r="E358" s="153">
        <f>4683+55737+E359</f>
        <v>60420</v>
      </c>
      <c r="F358" s="154">
        <f t="shared" si="726"/>
        <v>54349</v>
      </c>
      <c r="G358" s="155">
        <f>+G359</f>
        <v>0</v>
      </c>
      <c r="H358" s="155">
        <f>35642+H359</f>
        <v>35642</v>
      </c>
      <c r="I358" s="155">
        <f>18707+I359</f>
        <v>18707</v>
      </c>
      <c r="J358" s="155">
        <f t="shared" ref="J358" si="763">+J359</f>
        <v>0</v>
      </c>
      <c r="K358" s="155">
        <f t="shared" ref="K358" si="764">+K359</f>
        <v>0</v>
      </c>
      <c r="L358" s="155">
        <f t="shared" ref="L358" si="765">+L359</f>
        <v>0</v>
      </c>
      <c r="M358" s="155">
        <f t="shared" ref="M358" si="766">+M359</f>
        <v>0</v>
      </c>
      <c r="N358" s="156">
        <f>+N359</f>
        <v>0</v>
      </c>
      <c r="O358" s="153">
        <f>+O359</f>
        <v>0</v>
      </c>
      <c r="P358" s="63">
        <f>+P359</f>
        <v>0</v>
      </c>
    </row>
    <row r="359" spans="1:16" ht="15" customHeight="1" x14ac:dyDescent="0.35">
      <c r="A359" s="157" t="s">
        <v>724</v>
      </c>
      <c r="B359" s="151">
        <f t="shared" si="724"/>
        <v>0</v>
      </c>
      <c r="C359" s="152">
        <f t="shared" si="725"/>
        <v>0</v>
      </c>
      <c r="D359" s="153"/>
      <c r="E359" s="153"/>
      <c r="F359" s="154">
        <f t="shared" si="726"/>
        <v>0</v>
      </c>
      <c r="G359" s="155"/>
      <c r="H359" s="155"/>
      <c r="I359" s="155"/>
      <c r="J359" s="155"/>
      <c r="K359" s="155"/>
      <c r="L359" s="155"/>
      <c r="M359" s="155"/>
      <c r="N359" s="156"/>
      <c r="O359" s="155"/>
      <c r="P359" s="63"/>
    </row>
    <row r="360" spans="1:16" ht="15.75" customHeight="1" x14ac:dyDescent="0.35">
      <c r="A360" s="150" t="s">
        <v>89</v>
      </c>
      <c r="B360" s="151">
        <f t="shared" si="724"/>
        <v>21475</v>
      </c>
      <c r="C360" s="152">
        <f t="shared" si="725"/>
        <v>319</v>
      </c>
      <c r="D360" s="153">
        <f>300+D361</f>
        <v>300</v>
      </c>
      <c r="E360" s="153">
        <f>19+E361</f>
        <v>19</v>
      </c>
      <c r="F360" s="154">
        <f t="shared" si="726"/>
        <v>21156</v>
      </c>
      <c r="G360" s="155">
        <f t="shared" ref="G360" si="767">+G361</f>
        <v>0</v>
      </c>
      <c r="H360" s="155">
        <f>11195+H361</f>
        <v>11195</v>
      </c>
      <c r="I360" s="155">
        <f>9961+I361</f>
        <v>9961</v>
      </c>
      <c r="J360" s="155">
        <f t="shared" ref="J360" si="768">+J361</f>
        <v>0</v>
      </c>
      <c r="K360" s="155">
        <f t="shared" ref="K360" si="769">+K361</f>
        <v>0</v>
      </c>
      <c r="L360" s="155">
        <f t="shared" ref="L360" si="770">+L361</f>
        <v>0</v>
      </c>
      <c r="M360" s="155">
        <f t="shared" ref="M360" si="771">+M361</f>
        <v>0</v>
      </c>
      <c r="N360" s="156">
        <f>+N361</f>
        <v>0</v>
      </c>
      <c r="O360" s="153">
        <f>+O361</f>
        <v>0</v>
      </c>
      <c r="P360" s="63">
        <f>+P361</f>
        <v>0</v>
      </c>
    </row>
    <row r="361" spans="1:16" ht="15" customHeight="1" x14ac:dyDescent="0.35">
      <c r="A361" s="157" t="s">
        <v>724</v>
      </c>
      <c r="B361" s="151">
        <f t="shared" si="724"/>
        <v>0</v>
      </c>
      <c r="C361" s="152">
        <f t="shared" si="725"/>
        <v>0</v>
      </c>
      <c r="D361" s="153"/>
      <c r="E361" s="153"/>
      <c r="F361" s="154">
        <f t="shared" si="726"/>
        <v>0</v>
      </c>
      <c r="G361" s="155"/>
      <c r="H361" s="155"/>
      <c r="I361" s="155"/>
      <c r="J361" s="155"/>
      <c r="K361" s="155"/>
      <c r="L361" s="155"/>
      <c r="M361" s="155"/>
      <c r="N361" s="156"/>
      <c r="O361" s="155"/>
      <c r="P361" s="63"/>
    </row>
    <row r="362" spans="1:16" ht="33" customHeight="1" x14ac:dyDescent="0.35">
      <c r="A362" s="150" t="s">
        <v>92</v>
      </c>
      <c r="B362" s="151">
        <f t="shared" si="724"/>
        <v>8481</v>
      </c>
      <c r="C362" s="152">
        <f t="shared" si="725"/>
        <v>0</v>
      </c>
      <c r="D362" s="153">
        <f>+D363</f>
        <v>0</v>
      </c>
      <c r="E362" s="153">
        <f>+E363</f>
        <v>0</v>
      </c>
      <c r="F362" s="154">
        <f t="shared" si="726"/>
        <v>8481</v>
      </c>
      <c r="G362" s="155">
        <f t="shared" ref="G362" si="772">+G363</f>
        <v>0</v>
      </c>
      <c r="H362" s="155">
        <f>4961+H363</f>
        <v>4961</v>
      </c>
      <c r="I362" s="155">
        <f>3520+I363</f>
        <v>3520</v>
      </c>
      <c r="J362" s="155">
        <f t="shared" ref="J362" si="773">+J363</f>
        <v>0</v>
      </c>
      <c r="K362" s="155">
        <f t="shared" ref="K362" si="774">+K363</f>
        <v>0</v>
      </c>
      <c r="L362" s="155">
        <f t="shared" ref="L362" si="775">+L363</f>
        <v>0</v>
      </c>
      <c r="M362" s="155">
        <f t="shared" ref="M362" si="776">+M363</f>
        <v>0</v>
      </c>
      <c r="N362" s="156">
        <f>+N363</f>
        <v>0</v>
      </c>
      <c r="O362" s="153">
        <f>+O363</f>
        <v>0</v>
      </c>
      <c r="P362" s="63">
        <f>+P363</f>
        <v>0</v>
      </c>
    </row>
    <row r="363" spans="1:16" ht="15" customHeight="1" x14ac:dyDescent="0.35">
      <c r="A363" s="157" t="s">
        <v>724</v>
      </c>
      <c r="B363" s="151">
        <f t="shared" si="724"/>
        <v>0</v>
      </c>
      <c r="C363" s="152">
        <f t="shared" si="725"/>
        <v>0</v>
      </c>
      <c r="D363" s="153"/>
      <c r="E363" s="153"/>
      <c r="F363" s="154">
        <f t="shared" si="726"/>
        <v>0</v>
      </c>
      <c r="G363" s="155"/>
      <c r="H363" s="155"/>
      <c r="I363" s="155"/>
      <c r="J363" s="155"/>
      <c r="K363" s="155"/>
      <c r="L363" s="155"/>
      <c r="M363" s="155"/>
      <c r="N363" s="156"/>
      <c r="O363" s="155"/>
      <c r="P363" s="153"/>
    </row>
    <row r="364" spans="1:16" ht="30" customHeight="1" x14ac:dyDescent="0.35">
      <c r="A364" s="158" t="s">
        <v>809</v>
      </c>
      <c r="B364" s="151">
        <f t="shared" si="724"/>
        <v>74765</v>
      </c>
      <c r="C364" s="152">
        <f t="shared" si="725"/>
        <v>51220</v>
      </c>
      <c r="D364" s="153">
        <f>2738+38625+D365</f>
        <v>41363</v>
      </c>
      <c r="E364" s="153">
        <f>9857+E365</f>
        <v>9857</v>
      </c>
      <c r="F364" s="154">
        <f t="shared" si="726"/>
        <v>23545</v>
      </c>
      <c r="G364" s="155">
        <f t="shared" ref="G364" si="777">+G365</f>
        <v>0</v>
      </c>
      <c r="H364" s="155">
        <f>12051+H365</f>
        <v>12051</v>
      </c>
      <c r="I364" s="155">
        <f>11494+I365</f>
        <v>11494</v>
      </c>
      <c r="J364" s="155">
        <f t="shared" ref="J364" si="778">+J365</f>
        <v>0</v>
      </c>
      <c r="K364" s="155">
        <f t="shared" ref="K364" si="779">+K365</f>
        <v>0</v>
      </c>
      <c r="L364" s="155">
        <f t="shared" ref="L364" si="780">+L365</f>
        <v>0</v>
      </c>
      <c r="M364" s="155">
        <f t="shared" ref="M364" si="781">+M365</f>
        <v>0</v>
      </c>
      <c r="N364" s="156">
        <f>+N365</f>
        <v>0</v>
      </c>
      <c r="O364" s="153">
        <f>+O365</f>
        <v>0</v>
      </c>
      <c r="P364" s="63">
        <f>+P365</f>
        <v>0</v>
      </c>
    </row>
    <row r="365" spans="1:16" ht="15" customHeight="1" x14ac:dyDescent="0.35">
      <c r="A365" s="157" t="s">
        <v>724</v>
      </c>
      <c r="B365" s="151">
        <f t="shared" si="724"/>
        <v>0</v>
      </c>
      <c r="C365" s="152">
        <f t="shared" si="725"/>
        <v>0</v>
      </c>
      <c r="D365" s="153"/>
      <c r="E365" s="153"/>
      <c r="F365" s="154">
        <f t="shared" si="726"/>
        <v>0</v>
      </c>
      <c r="G365" s="155"/>
      <c r="H365" s="155"/>
      <c r="I365" s="155"/>
      <c r="J365" s="155"/>
      <c r="K365" s="155"/>
      <c r="L365" s="155"/>
      <c r="M365" s="155"/>
      <c r="N365" s="156"/>
      <c r="O365" s="155"/>
      <c r="P365" s="63"/>
    </row>
    <row r="366" spans="1:16" ht="30" customHeight="1" x14ac:dyDescent="0.35">
      <c r="A366" s="158" t="s">
        <v>810</v>
      </c>
      <c r="B366" s="151">
        <f t="shared" si="724"/>
        <v>13621</v>
      </c>
      <c r="C366" s="152">
        <f t="shared" si="725"/>
        <v>10623</v>
      </c>
      <c r="D366" s="153">
        <f>8595+D367</f>
        <v>8595</v>
      </c>
      <c r="E366" s="153">
        <f>2028+E367</f>
        <v>2028</v>
      </c>
      <c r="F366" s="154">
        <f t="shared" si="726"/>
        <v>2398</v>
      </c>
      <c r="G366" s="155">
        <f t="shared" ref="G366" si="782">+G367</f>
        <v>0</v>
      </c>
      <c r="H366" s="155">
        <f>500+H367</f>
        <v>500</v>
      </c>
      <c r="I366" s="155">
        <f>1298+I367</f>
        <v>1298</v>
      </c>
      <c r="J366" s="155">
        <f>600+J367</f>
        <v>600</v>
      </c>
      <c r="K366" s="155">
        <f t="shared" ref="K366" si="783">+K367</f>
        <v>0</v>
      </c>
      <c r="L366" s="155">
        <f t="shared" ref="L366" si="784">+L367</f>
        <v>0</v>
      </c>
      <c r="M366" s="155">
        <f t="shared" ref="M366" si="785">+M367</f>
        <v>0</v>
      </c>
      <c r="N366" s="156">
        <f>600+N367</f>
        <v>600</v>
      </c>
      <c r="O366" s="153">
        <f>+O367</f>
        <v>0</v>
      </c>
      <c r="P366" s="63">
        <f>+P367</f>
        <v>0</v>
      </c>
    </row>
    <row r="367" spans="1:16" ht="15" customHeight="1" x14ac:dyDescent="0.35">
      <c r="A367" s="157" t="s">
        <v>724</v>
      </c>
      <c r="B367" s="151">
        <f t="shared" si="724"/>
        <v>0</v>
      </c>
      <c r="C367" s="152">
        <f t="shared" si="725"/>
        <v>0</v>
      </c>
      <c r="D367" s="153"/>
      <c r="E367" s="153"/>
      <c r="F367" s="154">
        <f t="shared" si="726"/>
        <v>0</v>
      </c>
      <c r="G367" s="155"/>
      <c r="H367" s="155"/>
      <c r="I367" s="155"/>
      <c r="J367" s="155"/>
      <c r="K367" s="155"/>
      <c r="L367" s="155"/>
      <c r="M367" s="155"/>
      <c r="N367" s="156"/>
      <c r="O367" s="155"/>
      <c r="P367" s="63"/>
    </row>
    <row r="368" spans="1:16" ht="30" customHeight="1" x14ac:dyDescent="0.35">
      <c r="A368" s="158" t="s">
        <v>811</v>
      </c>
      <c r="B368" s="151">
        <f t="shared" si="724"/>
        <v>10653</v>
      </c>
      <c r="C368" s="152">
        <f t="shared" si="725"/>
        <v>8742</v>
      </c>
      <c r="D368" s="153">
        <f>7073+D369</f>
        <v>7073</v>
      </c>
      <c r="E368" s="153">
        <f>1669+E369</f>
        <v>1669</v>
      </c>
      <c r="F368" s="154">
        <f t="shared" si="726"/>
        <v>1911</v>
      </c>
      <c r="G368" s="155">
        <f t="shared" ref="G368" si="786">+G369</f>
        <v>0</v>
      </c>
      <c r="H368" s="155">
        <f>645+H369</f>
        <v>645</v>
      </c>
      <c r="I368" s="155">
        <f>1266+I369</f>
        <v>1266</v>
      </c>
      <c r="J368" s="155">
        <f>+J369</f>
        <v>0</v>
      </c>
      <c r="K368" s="155">
        <f t="shared" ref="K368" si="787">+K369</f>
        <v>0</v>
      </c>
      <c r="L368" s="155">
        <f t="shared" ref="L368" si="788">+L369</f>
        <v>0</v>
      </c>
      <c r="M368" s="155">
        <f t="shared" ref="M368" si="789">+M369</f>
        <v>0</v>
      </c>
      <c r="N368" s="156">
        <f>+N369</f>
        <v>0</v>
      </c>
      <c r="O368" s="153">
        <f>+O369</f>
        <v>0</v>
      </c>
      <c r="P368" s="63">
        <f>+P369</f>
        <v>0</v>
      </c>
    </row>
    <row r="369" spans="1:16" ht="15" customHeight="1" x14ac:dyDescent="0.35">
      <c r="A369" s="157" t="s">
        <v>724</v>
      </c>
      <c r="B369" s="151">
        <f t="shared" si="724"/>
        <v>0</v>
      </c>
      <c r="C369" s="152">
        <f t="shared" si="725"/>
        <v>0</v>
      </c>
      <c r="D369" s="153"/>
      <c r="E369" s="153"/>
      <c r="F369" s="154">
        <f t="shared" si="726"/>
        <v>0</v>
      </c>
      <c r="G369" s="155"/>
      <c r="H369" s="155"/>
      <c r="I369" s="155"/>
      <c r="J369" s="155"/>
      <c r="K369" s="155"/>
      <c r="L369" s="155"/>
      <c r="M369" s="155"/>
      <c r="N369" s="156"/>
      <c r="O369" s="155"/>
      <c r="P369" s="63"/>
    </row>
    <row r="370" spans="1:16" ht="20.25" customHeight="1" x14ac:dyDescent="0.35">
      <c r="A370" s="158" t="s">
        <v>657</v>
      </c>
      <c r="B370" s="151">
        <f t="shared" si="724"/>
        <v>95958</v>
      </c>
      <c r="C370" s="152">
        <f t="shared" si="725"/>
        <v>78878</v>
      </c>
      <c r="D370" s="159">
        <f>52492+D371</f>
        <v>64192</v>
      </c>
      <c r="E370" s="159">
        <f>12704+E371</f>
        <v>14686</v>
      </c>
      <c r="F370" s="154">
        <f t="shared" si="726"/>
        <v>17080</v>
      </c>
      <c r="G370" s="162">
        <f>381+G371</f>
        <v>381</v>
      </c>
      <c r="H370" s="162">
        <f>14337+H371</f>
        <v>11037</v>
      </c>
      <c r="I370" s="162">
        <f>4412+I371</f>
        <v>5662</v>
      </c>
      <c r="J370" s="155">
        <f t="shared" ref="J370" si="790">+J371</f>
        <v>0</v>
      </c>
      <c r="K370" s="155">
        <f t="shared" ref="K370" si="791">+K371</f>
        <v>0</v>
      </c>
      <c r="L370" s="155">
        <f t="shared" ref="L370" si="792">+L371</f>
        <v>0</v>
      </c>
      <c r="M370" s="155">
        <f t="shared" ref="M370" si="793">+M371</f>
        <v>0</v>
      </c>
      <c r="N370" s="156">
        <f>+N371</f>
        <v>0</v>
      </c>
      <c r="O370" s="153">
        <f>+O371</f>
        <v>0</v>
      </c>
      <c r="P370" s="63">
        <f>+P371</f>
        <v>0</v>
      </c>
    </row>
    <row r="371" spans="1:16" ht="15" customHeight="1" x14ac:dyDescent="0.35">
      <c r="A371" s="157" t="s">
        <v>724</v>
      </c>
      <c r="B371" s="151">
        <f t="shared" si="724"/>
        <v>11632</v>
      </c>
      <c r="C371" s="152">
        <f t="shared" si="725"/>
        <v>13682</v>
      </c>
      <c r="D371" s="159">
        <f>7800+600+3300</f>
        <v>11700</v>
      </c>
      <c r="E371" s="159">
        <f>1840+142</f>
        <v>1982</v>
      </c>
      <c r="F371" s="154">
        <f t="shared" si="726"/>
        <v>-2050</v>
      </c>
      <c r="G371" s="162"/>
      <c r="H371" s="162">
        <v>-3300</v>
      </c>
      <c r="I371" s="162">
        <v>1250</v>
      </c>
      <c r="J371" s="155"/>
      <c r="K371" s="155"/>
      <c r="L371" s="162"/>
      <c r="M371" s="162"/>
      <c r="N371" s="160"/>
      <c r="O371" s="162"/>
      <c r="P371" s="63"/>
    </row>
    <row r="372" spans="1:16" ht="21.75" customHeight="1" x14ac:dyDescent="0.35">
      <c r="A372" s="158" t="s">
        <v>653</v>
      </c>
      <c r="B372" s="151">
        <f t="shared" si="724"/>
        <v>68624</v>
      </c>
      <c r="C372" s="152">
        <f t="shared" si="725"/>
        <v>2842</v>
      </c>
      <c r="D372" s="159">
        <f>2300+D373</f>
        <v>2300</v>
      </c>
      <c r="E372" s="159">
        <f>542+E373</f>
        <v>542</v>
      </c>
      <c r="F372" s="154">
        <f t="shared" si="726"/>
        <v>65782</v>
      </c>
      <c r="G372" s="162">
        <f>289+G373</f>
        <v>289</v>
      </c>
      <c r="H372" s="162">
        <f>49220+H373</f>
        <v>49220</v>
      </c>
      <c r="I372" s="162">
        <f>16273+I373</f>
        <v>16273</v>
      </c>
      <c r="J372" s="155">
        <f t="shared" ref="J372" si="794">+J373</f>
        <v>0</v>
      </c>
      <c r="K372" s="155">
        <f t="shared" ref="K372" si="795">+K373</f>
        <v>0</v>
      </c>
      <c r="L372" s="155">
        <f t="shared" ref="L372" si="796">+L373</f>
        <v>0</v>
      </c>
      <c r="M372" s="155">
        <f t="shared" ref="M372" si="797">+M373</f>
        <v>0</v>
      </c>
      <c r="N372" s="156">
        <f>+N373</f>
        <v>0</v>
      </c>
      <c r="O372" s="153">
        <f>+O373</f>
        <v>0</v>
      </c>
      <c r="P372" s="63">
        <f>+P373</f>
        <v>0</v>
      </c>
    </row>
    <row r="373" spans="1:16" ht="21.75" customHeight="1" x14ac:dyDescent="0.35">
      <c r="A373" s="157" t="s">
        <v>724</v>
      </c>
      <c r="B373" s="151">
        <f t="shared" si="724"/>
        <v>0</v>
      </c>
      <c r="C373" s="152">
        <f t="shared" si="725"/>
        <v>0</v>
      </c>
      <c r="D373" s="159"/>
      <c r="E373" s="159"/>
      <c r="F373" s="154">
        <f t="shared" si="726"/>
        <v>0</v>
      </c>
      <c r="G373" s="162"/>
      <c r="H373" s="162"/>
      <c r="I373" s="162"/>
      <c r="J373" s="155"/>
      <c r="K373" s="155"/>
      <c r="L373" s="162"/>
      <c r="M373" s="155"/>
      <c r="N373" s="160"/>
      <c r="O373" s="162"/>
      <c r="P373" s="63"/>
    </row>
    <row r="374" spans="1:16" ht="21" customHeight="1" x14ac:dyDescent="0.35">
      <c r="A374" s="158" t="s">
        <v>25</v>
      </c>
      <c r="B374" s="151">
        <f t="shared" si="724"/>
        <v>38140</v>
      </c>
      <c r="C374" s="152">
        <f t="shared" si="725"/>
        <v>0</v>
      </c>
      <c r="D374" s="153">
        <f>+D375</f>
        <v>0</v>
      </c>
      <c r="E374" s="153">
        <f>+E375</f>
        <v>0</v>
      </c>
      <c r="F374" s="154">
        <f t="shared" si="726"/>
        <v>38140</v>
      </c>
      <c r="G374" s="155">
        <f>+G375</f>
        <v>0</v>
      </c>
      <c r="H374" s="155">
        <f>16740+H375</f>
        <v>16740</v>
      </c>
      <c r="I374" s="155">
        <f>21400+I375</f>
        <v>21400</v>
      </c>
      <c r="J374" s="155">
        <f t="shared" ref="J374" si="798">+J375</f>
        <v>0</v>
      </c>
      <c r="K374" s="155">
        <f t="shared" ref="K374" si="799">+K375</f>
        <v>0</v>
      </c>
      <c r="L374" s="155">
        <f t="shared" ref="L374" si="800">+L375</f>
        <v>0</v>
      </c>
      <c r="M374" s="155">
        <f t="shared" ref="M374" si="801">+M375</f>
        <v>0</v>
      </c>
      <c r="N374" s="156">
        <f>+N375</f>
        <v>0</v>
      </c>
      <c r="O374" s="153">
        <f>+O375</f>
        <v>0</v>
      </c>
      <c r="P374" s="63">
        <f>+P375</f>
        <v>0</v>
      </c>
    </row>
    <row r="375" spans="1:16" ht="15" customHeight="1" x14ac:dyDescent="0.35">
      <c r="A375" s="157" t="s">
        <v>724</v>
      </c>
      <c r="B375" s="151">
        <f t="shared" si="724"/>
        <v>0</v>
      </c>
      <c r="C375" s="152">
        <f t="shared" si="725"/>
        <v>0</v>
      </c>
      <c r="D375" s="153"/>
      <c r="E375" s="153"/>
      <c r="F375" s="154">
        <f t="shared" si="726"/>
        <v>0</v>
      </c>
      <c r="G375" s="155"/>
      <c r="H375" s="155"/>
      <c r="I375" s="155"/>
      <c r="J375" s="155"/>
      <c r="K375" s="155"/>
      <c r="L375" s="155"/>
      <c r="M375" s="155"/>
      <c r="N375" s="156"/>
      <c r="O375" s="155"/>
      <c r="P375" s="63"/>
    </row>
    <row r="376" spans="1:16" ht="22.5" customHeight="1" x14ac:dyDescent="0.35">
      <c r="A376" s="158" t="s">
        <v>26</v>
      </c>
      <c r="B376" s="151">
        <f t="shared" si="724"/>
        <v>1063227</v>
      </c>
      <c r="C376" s="152">
        <f t="shared" si="725"/>
        <v>943040</v>
      </c>
      <c r="D376" s="153">
        <f>318026+224603+202213+1243+648+14411+D377</f>
        <v>761144</v>
      </c>
      <c r="E376" s="153">
        <f>75022+55619+47702+153+3400+E377</f>
        <v>181896</v>
      </c>
      <c r="F376" s="154">
        <f t="shared" si="726"/>
        <v>119987</v>
      </c>
      <c r="G376" s="155">
        <f t="shared" ref="G376" si="802">+G377</f>
        <v>0</v>
      </c>
      <c r="H376" s="155">
        <f>46811+H377</f>
        <v>46811</v>
      </c>
      <c r="I376" s="155">
        <f>70868+I377</f>
        <v>73176</v>
      </c>
      <c r="J376" s="155">
        <f t="shared" ref="J376" si="803">+J377</f>
        <v>0</v>
      </c>
      <c r="K376" s="155">
        <f t="shared" ref="K376" si="804">+K377</f>
        <v>0</v>
      </c>
      <c r="L376" s="155">
        <f t="shared" ref="L376" si="805">+L377</f>
        <v>0</v>
      </c>
      <c r="M376" s="155">
        <f t="shared" ref="M376" si="806">+M377</f>
        <v>0</v>
      </c>
      <c r="N376" s="156">
        <f>+N377</f>
        <v>200</v>
      </c>
      <c r="O376" s="153">
        <f>+O377</f>
        <v>0</v>
      </c>
      <c r="P376" s="63">
        <f>+P377</f>
        <v>0</v>
      </c>
    </row>
    <row r="377" spans="1:16" ht="15" customHeight="1" x14ac:dyDescent="0.35">
      <c r="A377" s="157" t="s">
        <v>724</v>
      </c>
      <c r="B377" s="151">
        <f t="shared" si="724"/>
        <v>2508</v>
      </c>
      <c r="C377" s="152">
        <f t="shared" si="725"/>
        <v>0</v>
      </c>
      <c r="D377" s="153"/>
      <c r="E377" s="153"/>
      <c r="F377" s="154">
        <f t="shared" si="726"/>
        <v>2308</v>
      </c>
      <c r="G377" s="155"/>
      <c r="H377" s="155"/>
      <c r="I377" s="155">
        <v>2308</v>
      </c>
      <c r="J377" s="155"/>
      <c r="K377" s="155"/>
      <c r="L377" s="155"/>
      <c r="M377" s="155"/>
      <c r="N377" s="156">
        <v>200</v>
      </c>
      <c r="O377" s="155"/>
      <c r="P377" s="63"/>
    </row>
    <row r="378" spans="1:16" ht="18.75" customHeight="1" x14ac:dyDescent="0.35">
      <c r="A378" s="158" t="s">
        <v>27</v>
      </c>
      <c r="B378" s="151">
        <f t="shared" si="724"/>
        <v>638177</v>
      </c>
      <c r="C378" s="152">
        <f t="shared" si="725"/>
        <v>561676</v>
      </c>
      <c r="D378" s="153">
        <f>229407+138629+85939+492+D379</f>
        <v>454467</v>
      </c>
      <c r="E378" s="153">
        <f>54117+32703+20273+116+E379</f>
        <v>107209</v>
      </c>
      <c r="F378" s="154">
        <f t="shared" si="726"/>
        <v>76501</v>
      </c>
      <c r="G378" s="155">
        <f t="shared" ref="G378" si="807">+G379</f>
        <v>0</v>
      </c>
      <c r="H378" s="155">
        <f>30064+H379</f>
        <v>30064</v>
      </c>
      <c r="I378" s="155">
        <f>44753+I379</f>
        <v>46437</v>
      </c>
      <c r="J378" s="155">
        <f t="shared" ref="J378" si="808">+J379</f>
        <v>0</v>
      </c>
      <c r="K378" s="155">
        <f t="shared" ref="K378" si="809">+K379</f>
        <v>0</v>
      </c>
      <c r="L378" s="155">
        <f t="shared" ref="L378" si="810">+L379</f>
        <v>0</v>
      </c>
      <c r="M378" s="155">
        <f t="shared" ref="M378" si="811">+M379</f>
        <v>0</v>
      </c>
      <c r="N378" s="156">
        <f>+N379</f>
        <v>0</v>
      </c>
      <c r="O378" s="153">
        <f>+O379</f>
        <v>0</v>
      </c>
      <c r="P378" s="63">
        <f>+P379</f>
        <v>0</v>
      </c>
    </row>
    <row r="379" spans="1:16" ht="15" customHeight="1" x14ac:dyDescent="0.35">
      <c r="A379" s="157" t="s">
        <v>724</v>
      </c>
      <c r="B379" s="151">
        <f t="shared" si="724"/>
        <v>1684</v>
      </c>
      <c r="C379" s="152">
        <f t="shared" si="725"/>
        <v>0</v>
      </c>
      <c r="D379" s="153"/>
      <c r="E379" s="153"/>
      <c r="F379" s="154">
        <f t="shared" si="726"/>
        <v>1684</v>
      </c>
      <c r="G379" s="155"/>
      <c r="H379" s="155"/>
      <c r="I379" s="155">
        <v>1684</v>
      </c>
      <c r="J379" s="155"/>
      <c r="K379" s="155"/>
      <c r="L379" s="155"/>
      <c r="M379" s="155"/>
      <c r="N379" s="156"/>
      <c r="O379" s="155"/>
      <c r="P379" s="153"/>
    </row>
    <row r="380" spans="1:16" ht="17.25" customHeight="1" x14ac:dyDescent="0.35">
      <c r="A380" s="158" t="s">
        <v>28</v>
      </c>
      <c r="B380" s="151">
        <f t="shared" si="724"/>
        <v>171283</v>
      </c>
      <c r="C380" s="152">
        <f t="shared" si="725"/>
        <v>161383</v>
      </c>
      <c r="D380" s="153">
        <f>72152+35492+22798+D381</f>
        <v>130442</v>
      </c>
      <c r="E380" s="153">
        <f>17020+8543+5378+E381</f>
        <v>30941</v>
      </c>
      <c r="F380" s="154">
        <f t="shared" si="726"/>
        <v>9900</v>
      </c>
      <c r="G380" s="155">
        <f t="shared" ref="G380" si="812">+G381</f>
        <v>0</v>
      </c>
      <c r="H380" s="155">
        <f>1103+H381</f>
        <v>1103</v>
      </c>
      <c r="I380" s="155">
        <f>8350+I381</f>
        <v>8797</v>
      </c>
      <c r="J380" s="155">
        <f t="shared" ref="J380" si="813">+J381</f>
        <v>0</v>
      </c>
      <c r="K380" s="155">
        <f t="shared" ref="K380" si="814">+K381</f>
        <v>0</v>
      </c>
      <c r="L380" s="155">
        <f t="shared" ref="L380" si="815">+L381</f>
        <v>0</v>
      </c>
      <c r="M380" s="155">
        <f t="shared" ref="M380" si="816">+M381</f>
        <v>0</v>
      </c>
      <c r="N380" s="156">
        <f>+N381</f>
        <v>0</v>
      </c>
      <c r="O380" s="153">
        <f>+O381</f>
        <v>0</v>
      </c>
      <c r="P380" s="63">
        <f>+P381</f>
        <v>0</v>
      </c>
    </row>
    <row r="381" spans="1:16" ht="15" customHeight="1" x14ac:dyDescent="0.35">
      <c r="A381" s="157" t="s">
        <v>724</v>
      </c>
      <c r="B381" s="151">
        <f t="shared" si="724"/>
        <v>447</v>
      </c>
      <c r="C381" s="152">
        <f t="shared" si="725"/>
        <v>0</v>
      </c>
      <c r="D381" s="153"/>
      <c r="E381" s="153"/>
      <c r="F381" s="154">
        <f t="shared" si="726"/>
        <v>447</v>
      </c>
      <c r="G381" s="155"/>
      <c r="H381" s="155"/>
      <c r="I381" s="155">
        <v>447</v>
      </c>
      <c r="J381" s="155"/>
      <c r="K381" s="155"/>
      <c r="L381" s="155"/>
      <c r="M381" s="155"/>
      <c r="N381" s="156"/>
      <c r="O381" s="155"/>
      <c r="P381" s="63"/>
    </row>
    <row r="382" spans="1:16" ht="15" customHeight="1" x14ac:dyDescent="0.35">
      <c r="A382" s="158" t="s">
        <v>488</v>
      </c>
      <c r="B382" s="151">
        <f t="shared" si="724"/>
        <v>376315</v>
      </c>
      <c r="C382" s="152">
        <f t="shared" si="725"/>
        <v>325404</v>
      </c>
      <c r="D382" s="153">
        <f>132836+107280+22798+D383</f>
        <v>262914</v>
      </c>
      <c r="E382" s="153">
        <f>31336+25776+5378+E383</f>
        <v>62490</v>
      </c>
      <c r="F382" s="154">
        <f t="shared" si="726"/>
        <v>30903</v>
      </c>
      <c r="G382" s="155">
        <f t="shared" ref="G382" si="817">+G383</f>
        <v>0</v>
      </c>
      <c r="H382" s="155">
        <f>7512+H383</f>
        <v>7512</v>
      </c>
      <c r="I382" s="155">
        <f>22877+I383</f>
        <v>23324</v>
      </c>
      <c r="J382" s="155">
        <f t="shared" ref="J382" si="818">+J383</f>
        <v>0</v>
      </c>
      <c r="K382" s="155">
        <f>67+K383</f>
        <v>67</v>
      </c>
      <c r="L382" s="155">
        <f t="shared" ref="L382" si="819">+L383</f>
        <v>0</v>
      </c>
      <c r="M382" s="155">
        <f t="shared" ref="M382" si="820">+M383</f>
        <v>0</v>
      </c>
      <c r="N382" s="156">
        <f>+N383</f>
        <v>20008</v>
      </c>
      <c r="O382" s="153">
        <f>+O383</f>
        <v>0</v>
      </c>
      <c r="P382" s="63">
        <f>+P383</f>
        <v>0</v>
      </c>
    </row>
    <row r="383" spans="1:16" ht="15" customHeight="1" x14ac:dyDescent="0.35">
      <c r="A383" s="157" t="s">
        <v>724</v>
      </c>
      <c r="B383" s="151">
        <f t="shared" si="724"/>
        <v>20455</v>
      </c>
      <c r="C383" s="152">
        <f t="shared" si="725"/>
        <v>0</v>
      </c>
      <c r="D383" s="153"/>
      <c r="E383" s="153"/>
      <c r="F383" s="154">
        <f t="shared" si="726"/>
        <v>447</v>
      </c>
      <c r="G383" s="155"/>
      <c r="H383" s="155"/>
      <c r="I383" s="155">
        <v>447</v>
      </c>
      <c r="J383" s="155"/>
      <c r="K383" s="155"/>
      <c r="L383" s="155"/>
      <c r="M383" s="155"/>
      <c r="N383" s="156">
        <v>20008</v>
      </c>
      <c r="O383" s="155"/>
      <c r="P383" s="63"/>
    </row>
    <row r="384" spans="1:16" ht="30" customHeight="1" x14ac:dyDescent="0.35">
      <c r="A384" s="158" t="s">
        <v>96</v>
      </c>
      <c r="B384" s="151">
        <f t="shared" si="724"/>
        <v>439837</v>
      </c>
      <c r="C384" s="152">
        <f t="shared" si="725"/>
        <v>401277</v>
      </c>
      <c r="D384" s="153">
        <f>143080+82984+79298+19215+D385</f>
        <v>324577</v>
      </c>
      <c r="E384" s="153">
        <f>33752+19709+18706+4533+E385</f>
        <v>76700</v>
      </c>
      <c r="F384" s="154">
        <f t="shared" si="726"/>
        <v>38560</v>
      </c>
      <c r="G384" s="155">
        <f t="shared" ref="G384" si="821">+G385</f>
        <v>0</v>
      </c>
      <c r="H384" s="155">
        <f>8740+H385</f>
        <v>8740</v>
      </c>
      <c r="I384" s="155">
        <f>28514+I385</f>
        <v>29820</v>
      </c>
      <c r="J384" s="155">
        <f t="shared" ref="J384" si="822">+J385</f>
        <v>0</v>
      </c>
      <c r="K384" s="155">
        <f>+K385</f>
        <v>0</v>
      </c>
      <c r="L384" s="155">
        <f t="shared" ref="L384" si="823">+L385</f>
        <v>0</v>
      </c>
      <c r="M384" s="155">
        <f t="shared" ref="M384" si="824">+M385</f>
        <v>0</v>
      </c>
      <c r="N384" s="156">
        <f>+N385</f>
        <v>0</v>
      </c>
      <c r="O384" s="153">
        <f>+O385</f>
        <v>0</v>
      </c>
      <c r="P384" s="63">
        <f>+P385</f>
        <v>0</v>
      </c>
    </row>
    <row r="385" spans="1:16" ht="15" customHeight="1" x14ac:dyDescent="0.35">
      <c r="A385" s="157" t="s">
        <v>724</v>
      </c>
      <c r="B385" s="151">
        <f t="shared" si="724"/>
        <v>1306</v>
      </c>
      <c r="C385" s="152">
        <f t="shared" si="725"/>
        <v>0</v>
      </c>
      <c r="D385" s="153"/>
      <c r="E385" s="153"/>
      <c r="F385" s="154">
        <f t="shared" si="726"/>
        <v>1306</v>
      </c>
      <c r="G385" s="155"/>
      <c r="H385" s="155"/>
      <c r="I385" s="155">
        <v>1306</v>
      </c>
      <c r="J385" s="155"/>
      <c r="K385" s="155"/>
      <c r="L385" s="155"/>
      <c r="M385" s="155"/>
      <c r="N385" s="156"/>
      <c r="O385" s="155"/>
      <c r="P385" s="63"/>
    </row>
    <row r="386" spans="1:16" ht="30" customHeight="1" x14ac:dyDescent="0.35">
      <c r="A386" s="158" t="s">
        <v>552</v>
      </c>
      <c r="B386" s="151">
        <f t="shared" si="724"/>
        <v>48690</v>
      </c>
      <c r="C386" s="152">
        <f t="shared" si="725"/>
        <v>27240</v>
      </c>
      <c r="D386" s="153">
        <f>22040+D387</f>
        <v>22040</v>
      </c>
      <c r="E386" s="153">
        <f>5200+E387</f>
        <v>5200</v>
      </c>
      <c r="F386" s="154">
        <f t="shared" si="726"/>
        <v>21450</v>
      </c>
      <c r="G386" s="155">
        <f t="shared" ref="G386" si="825">+G387</f>
        <v>0</v>
      </c>
      <c r="H386" s="155">
        <f>2850+H387</f>
        <v>2850</v>
      </c>
      <c r="I386" s="155">
        <f>18600+I387</f>
        <v>18600</v>
      </c>
      <c r="J386" s="155">
        <f t="shared" ref="J386" si="826">+J387</f>
        <v>0</v>
      </c>
      <c r="K386" s="155">
        <f t="shared" ref="K386" si="827">+K387</f>
        <v>0</v>
      </c>
      <c r="L386" s="155">
        <f t="shared" ref="L386" si="828">+L387</f>
        <v>0</v>
      </c>
      <c r="M386" s="155">
        <f t="shared" ref="M386" si="829">+M387</f>
        <v>0</v>
      </c>
      <c r="N386" s="156">
        <f>+N387</f>
        <v>0</v>
      </c>
      <c r="O386" s="153">
        <f>+O387</f>
        <v>0</v>
      </c>
      <c r="P386" s="63">
        <f>+P387</f>
        <v>0</v>
      </c>
    </row>
    <row r="387" spans="1:16" ht="15" customHeight="1" x14ac:dyDescent="0.35">
      <c r="A387" s="157" t="s">
        <v>724</v>
      </c>
      <c r="B387" s="151">
        <f t="shared" si="724"/>
        <v>0</v>
      </c>
      <c r="C387" s="152">
        <f t="shared" si="725"/>
        <v>0</v>
      </c>
      <c r="D387" s="153"/>
      <c r="E387" s="153"/>
      <c r="F387" s="154">
        <f t="shared" si="726"/>
        <v>0</v>
      </c>
      <c r="G387" s="155"/>
      <c r="H387" s="155"/>
      <c r="I387" s="155"/>
      <c r="J387" s="155"/>
      <c r="K387" s="155"/>
      <c r="L387" s="155"/>
      <c r="M387" s="155"/>
      <c r="N387" s="156"/>
      <c r="O387" s="155"/>
      <c r="P387" s="63"/>
    </row>
    <row r="388" spans="1:16" ht="30" customHeight="1" x14ac:dyDescent="0.35">
      <c r="A388" s="158" t="s">
        <v>60</v>
      </c>
      <c r="B388" s="151">
        <f t="shared" si="724"/>
        <v>1592676</v>
      </c>
      <c r="C388" s="152">
        <f t="shared" si="725"/>
        <v>1276560</v>
      </c>
      <c r="D388" s="153">
        <f>14108+113744+859074+25944+3700+648+14411+D389</f>
        <v>1031629</v>
      </c>
      <c r="E388" s="153">
        <f>3328+29274+202656+6120+153+3400+E389</f>
        <v>244931</v>
      </c>
      <c r="F388" s="154">
        <f t="shared" si="726"/>
        <v>311116</v>
      </c>
      <c r="G388" s="155">
        <f>300+G389</f>
        <v>300</v>
      </c>
      <c r="H388" s="155">
        <f>72050+H389</f>
        <v>72050</v>
      </c>
      <c r="I388" s="155">
        <f>227789+I389</f>
        <v>238766</v>
      </c>
      <c r="J388" s="155">
        <f t="shared" ref="J388" si="830">+J389</f>
        <v>0</v>
      </c>
      <c r="K388" s="155">
        <f t="shared" ref="K388" si="831">+K389</f>
        <v>0</v>
      </c>
      <c r="L388" s="155">
        <f t="shared" ref="L388" si="832">+L389</f>
        <v>0</v>
      </c>
      <c r="M388" s="155">
        <f t="shared" ref="M388" si="833">+M389</f>
        <v>0</v>
      </c>
      <c r="N388" s="156">
        <f>+N389</f>
        <v>5000</v>
      </c>
      <c r="O388" s="153">
        <f>+O389</f>
        <v>0</v>
      </c>
      <c r="P388" s="63">
        <f>+P389</f>
        <v>0</v>
      </c>
    </row>
    <row r="389" spans="1:16" ht="15" customHeight="1" x14ac:dyDescent="0.35">
      <c r="A389" s="157" t="s">
        <v>724</v>
      </c>
      <c r="B389" s="151">
        <f t="shared" si="724"/>
        <v>15977</v>
      </c>
      <c r="C389" s="152">
        <f t="shared" si="725"/>
        <v>0</v>
      </c>
      <c r="D389" s="153"/>
      <c r="E389" s="153"/>
      <c r="F389" s="154">
        <f t="shared" si="726"/>
        <v>10977</v>
      </c>
      <c r="G389" s="155"/>
      <c r="H389" s="155"/>
      <c r="I389" s="155">
        <v>10977</v>
      </c>
      <c r="J389" s="155"/>
      <c r="K389" s="155"/>
      <c r="L389" s="155"/>
      <c r="M389" s="155"/>
      <c r="N389" s="156">
        <v>5000</v>
      </c>
      <c r="O389" s="155"/>
      <c r="P389" s="63"/>
    </row>
    <row r="390" spans="1:16" s="109" customFormat="1" ht="19.5" customHeight="1" x14ac:dyDescent="0.35">
      <c r="A390" s="158" t="s">
        <v>100</v>
      </c>
      <c r="B390" s="151">
        <f t="shared" si="724"/>
        <v>551534</v>
      </c>
      <c r="C390" s="152">
        <f t="shared" si="725"/>
        <v>483002</v>
      </c>
      <c r="D390" s="153">
        <f>34712+24911+148938+136040+12273+8457+2000+4500+492+14411+2719+D391</f>
        <v>389453</v>
      </c>
      <c r="E390" s="153">
        <f>8189+5877+38344+32092+2895+1995+116+3400+641+E391</f>
        <v>93549</v>
      </c>
      <c r="F390" s="154">
        <f t="shared" si="726"/>
        <v>68532</v>
      </c>
      <c r="G390" s="155">
        <f>48+G391</f>
        <v>48</v>
      </c>
      <c r="H390" s="155">
        <f>15031+H391</f>
        <v>15031</v>
      </c>
      <c r="I390" s="155">
        <f>51913+I391</f>
        <v>53203</v>
      </c>
      <c r="J390" s="155">
        <f t="shared" ref="J390" si="834">+J391</f>
        <v>0</v>
      </c>
      <c r="K390" s="155">
        <f>250+K391</f>
        <v>250</v>
      </c>
      <c r="L390" s="155">
        <f t="shared" ref="L390" si="835">+L391</f>
        <v>0</v>
      </c>
      <c r="M390" s="155">
        <f t="shared" ref="M390" si="836">+M391</f>
        <v>0</v>
      </c>
      <c r="N390" s="156">
        <f>+N391</f>
        <v>0</v>
      </c>
      <c r="O390" s="153">
        <f>+O391</f>
        <v>0</v>
      </c>
      <c r="P390" s="63">
        <f>+P391</f>
        <v>0</v>
      </c>
    </row>
    <row r="391" spans="1:16" s="109" customFormat="1" ht="15" customHeight="1" x14ac:dyDescent="0.35">
      <c r="A391" s="157" t="s">
        <v>724</v>
      </c>
      <c r="B391" s="151">
        <f t="shared" si="724"/>
        <v>1290</v>
      </c>
      <c r="C391" s="152">
        <f t="shared" si="725"/>
        <v>0</v>
      </c>
      <c r="D391" s="153"/>
      <c r="E391" s="153"/>
      <c r="F391" s="154">
        <f t="shared" si="726"/>
        <v>1290</v>
      </c>
      <c r="G391" s="155"/>
      <c r="H391" s="155"/>
      <c r="I391" s="155">
        <v>1290</v>
      </c>
      <c r="J391" s="155"/>
      <c r="K391" s="155"/>
      <c r="L391" s="155"/>
      <c r="M391" s="155"/>
      <c r="N391" s="156"/>
      <c r="O391" s="155"/>
      <c r="P391" s="143"/>
    </row>
    <row r="392" spans="1:16" ht="21.75" customHeight="1" x14ac:dyDescent="0.35">
      <c r="A392" s="158" t="s">
        <v>97</v>
      </c>
      <c r="B392" s="151">
        <f t="shared" si="724"/>
        <v>719816</v>
      </c>
      <c r="C392" s="152">
        <f t="shared" si="725"/>
        <v>663891</v>
      </c>
      <c r="D392" s="159">
        <f>9399+21943+112562+326512+13088+5641+3000+588+43234+1359+D393</f>
        <v>537326</v>
      </c>
      <c r="E392" s="159">
        <f>2217+5176+27070+77024+3088+1331+139+10199+321+E393</f>
        <v>126565</v>
      </c>
      <c r="F392" s="154">
        <f t="shared" si="726"/>
        <v>52948</v>
      </c>
      <c r="G392" s="162">
        <f>80+G393</f>
        <v>80</v>
      </c>
      <c r="H392" s="162">
        <f>19327+H393</f>
        <v>19327</v>
      </c>
      <c r="I392" s="162">
        <f>33291+I393</f>
        <v>33541</v>
      </c>
      <c r="J392" s="155">
        <f t="shared" ref="J392" si="837">+J393</f>
        <v>0</v>
      </c>
      <c r="K392" s="162">
        <f>+K393</f>
        <v>0</v>
      </c>
      <c r="L392" s="155">
        <f t="shared" ref="L392" si="838">+L393</f>
        <v>0</v>
      </c>
      <c r="M392" s="155">
        <f t="shared" ref="M392" si="839">+M393</f>
        <v>0</v>
      </c>
      <c r="N392" s="160">
        <f>1200+N393</f>
        <v>2977</v>
      </c>
      <c r="O392" s="153">
        <f>+O393</f>
        <v>0</v>
      </c>
      <c r="P392" s="63">
        <f>+P393</f>
        <v>0</v>
      </c>
    </row>
    <row r="393" spans="1:16" ht="15" customHeight="1" x14ac:dyDescent="0.35">
      <c r="A393" s="157" t="s">
        <v>724</v>
      </c>
      <c r="B393" s="151">
        <f t="shared" si="724"/>
        <v>2027</v>
      </c>
      <c r="C393" s="152">
        <f t="shared" si="725"/>
        <v>0</v>
      </c>
      <c r="D393" s="159"/>
      <c r="E393" s="159"/>
      <c r="F393" s="154">
        <f t="shared" si="726"/>
        <v>250</v>
      </c>
      <c r="G393" s="162"/>
      <c r="H393" s="162"/>
      <c r="I393" s="162">
        <v>250</v>
      </c>
      <c r="J393" s="155"/>
      <c r="K393" s="162"/>
      <c r="L393" s="155"/>
      <c r="M393" s="155"/>
      <c r="N393" s="160">
        <v>1777</v>
      </c>
      <c r="O393" s="162"/>
      <c r="P393" s="63"/>
    </row>
    <row r="394" spans="1:16" ht="23.25" customHeight="1" x14ac:dyDescent="0.35">
      <c r="A394" s="158" t="s">
        <v>29</v>
      </c>
      <c r="B394" s="151">
        <f t="shared" si="724"/>
        <v>540220</v>
      </c>
      <c r="C394" s="152">
        <f t="shared" si="725"/>
        <v>495927</v>
      </c>
      <c r="D394" s="153">
        <f>96242+290761+7331+1871+300+4804+D395</f>
        <v>401309</v>
      </c>
      <c r="E394" s="153">
        <f>23094+68591+1729+71+1133+E395</f>
        <v>94618</v>
      </c>
      <c r="F394" s="154">
        <f t="shared" si="726"/>
        <v>42963</v>
      </c>
      <c r="G394" s="155">
        <f>+G395</f>
        <v>0</v>
      </c>
      <c r="H394" s="155">
        <f>14670+H395</f>
        <v>14670</v>
      </c>
      <c r="I394" s="155">
        <f>26816+I395</f>
        <v>28191</v>
      </c>
      <c r="J394" s="155">
        <f t="shared" ref="J394" si="840">+J395</f>
        <v>0</v>
      </c>
      <c r="K394" s="155">
        <f>102+K395</f>
        <v>102</v>
      </c>
      <c r="L394" s="155">
        <f t="shared" ref="L394" si="841">+L395</f>
        <v>0</v>
      </c>
      <c r="M394" s="155">
        <f t="shared" ref="M394" si="842">+M395</f>
        <v>0</v>
      </c>
      <c r="N394" s="156">
        <f>850+N395</f>
        <v>1330</v>
      </c>
      <c r="O394" s="153">
        <f>+O395</f>
        <v>0</v>
      </c>
      <c r="P394" s="63">
        <f>+P395</f>
        <v>0</v>
      </c>
    </row>
    <row r="395" spans="1:16" ht="15" customHeight="1" x14ac:dyDescent="0.35">
      <c r="A395" s="157" t="s">
        <v>724</v>
      </c>
      <c r="B395" s="151">
        <f t="shared" si="724"/>
        <v>1855</v>
      </c>
      <c r="C395" s="152">
        <f t="shared" si="725"/>
        <v>0</v>
      </c>
      <c r="D395" s="153"/>
      <c r="E395" s="153"/>
      <c r="F395" s="154">
        <f t="shared" si="726"/>
        <v>1375</v>
      </c>
      <c r="G395" s="155"/>
      <c r="H395" s="155"/>
      <c r="I395" s="155">
        <v>1375</v>
      </c>
      <c r="J395" s="155"/>
      <c r="K395" s="155"/>
      <c r="L395" s="155"/>
      <c r="M395" s="155"/>
      <c r="N395" s="156">
        <v>480</v>
      </c>
      <c r="O395" s="155"/>
      <c r="P395" s="63"/>
    </row>
    <row r="396" spans="1:16" ht="24.75" customHeight="1" x14ac:dyDescent="0.35">
      <c r="A396" s="158" t="s">
        <v>153</v>
      </c>
      <c r="B396" s="151">
        <f t="shared" si="724"/>
        <v>995960</v>
      </c>
      <c r="C396" s="152">
        <f t="shared" si="725"/>
        <v>884816</v>
      </c>
      <c r="D396" s="153">
        <f>31391+54511+137777+447201+21041+16361+4100+420-21299+33626+D397</f>
        <v>725129</v>
      </c>
      <c r="E396" s="153">
        <f>7405+34957+105495+4963+3859+99-5024+7933+E397</f>
        <v>159687</v>
      </c>
      <c r="F396" s="154">
        <f t="shared" si="726"/>
        <v>108952</v>
      </c>
      <c r="G396" s="155">
        <f>200+G397</f>
        <v>200</v>
      </c>
      <c r="H396" s="155">
        <f>31536+H397</f>
        <v>31536</v>
      </c>
      <c r="I396" s="155">
        <f>74681+I397</f>
        <v>77216</v>
      </c>
      <c r="J396" s="155">
        <f t="shared" ref="J396" si="843">+J397</f>
        <v>0</v>
      </c>
      <c r="K396" s="155">
        <f>+K397</f>
        <v>0</v>
      </c>
      <c r="L396" s="155">
        <f t="shared" ref="L396" si="844">+L397</f>
        <v>0</v>
      </c>
      <c r="M396" s="155">
        <f t="shared" ref="M396" si="845">+M397</f>
        <v>0</v>
      </c>
      <c r="N396" s="156">
        <f>1600+N397</f>
        <v>2192</v>
      </c>
      <c r="O396" s="153">
        <f>+O397</f>
        <v>0</v>
      </c>
      <c r="P396" s="63">
        <f>+P397</f>
        <v>0</v>
      </c>
    </row>
    <row r="397" spans="1:16" ht="15" customHeight="1" x14ac:dyDescent="0.35">
      <c r="A397" s="157" t="s">
        <v>724</v>
      </c>
      <c r="B397" s="151">
        <f t="shared" si="724"/>
        <v>3127</v>
      </c>
      <c r="C397" s="152">
        <f t="shared" si="725"/>
        <v>0</v>
      </c>
      <c r="D397" s="153"/>
      <c r="E397" s="153"/>
      <c r="F397" s="154">
        <f t="shared" si="726"/>
        <v>2535</v>
      </c>
      <c r="G397" s="155"/>
      <c r="H397" s="155"/>
      <c r="I397" s="155">
        <v>2535</v>
      </c>
      <c r="J397" s="155"/>
      <c r="K397" s="155"/>
      <c r="L397" s="155"/>
      <c r="M397" s="155"/>
      <c r="N397" s="156">
        <v>592</v>
      </c>
      <c r="O397" s="155"/>
      <c r="P397" s="63"/>
    </row>
    <row r="398" spans="1:16" ht="30" customHeight="1" x14ac:dyDescent="0.35">
      <c r="A398" s="158" t="s">
        <v>154</v>
      </c>
      <c r="B398" s="151">
        <f t="shared" si="724"/>
        <v>91134</v>
      </c>
      <c r="C398" s="152">
        <f t="shared" si="725"/>
        <v>67370</v>
      </c>
      <c r="D398" s="153">
        <f>54511+D399</f>
        <v>54511</v>
      </c>
      <c r="E398" s="153">
        <f>12859+E399</f>
        <v>12859</v>
      </c>
      <c r="F398" s="154">
        <f t="shared" si="726"/>
        <v>23764</v>
      </c>
      <c r="G398" s="155">
        <f>+G399</f>
        <v>0</v>
      </c>
      <c r="H398" s="155">
        <f>6065+H399</f>
        <v>6065</v>
      </c>
      <c r="I398" s="155">
        <f>17287+I399</f>
        <v>17699</v>
      </c>
      <c r="J398" s="155">
        <f t="shared" ref="J398" si="846">+J399</f>
        <v>0</v>
      </c>
      <c r="K398" s="155">
        <f t="shared" ref="K398" si="847">+K399</f>
        <v>0</v>
      </c>
      <c r="L398" s="155">
        <f t="shared" ref="L398" si="848">+L399</f>
        <v>0</v>
      </c>
      <c r="M398" s="155">
        <f t="shared" ref="M398" si="849">+M399</f>
        <v>0</v>
      </c>
      <c r="N398" s="156">
        <f>+N399</f>
        <v>0</v>
      </c>
      <c r="O398" s="153">
        <f>+O399</f>
        <v>0</v>
      </c>
      <c r="P398" s="63">
        <f>+P399</f>
        <v>0</v>
      </c>
    </row>
    <row r="399" spans="1:16" ht="15" customHeight="1" x14ac:dyDescent="0.35">
      <c r="A399" s="157" t="s">
        <v>724</v>
      </c>
      <c r="B399" s="151">
        <f t="shared" si="724"/>
        <v>412</v>
      </c>
      <c r="C399" s="152">
        <f t="shared" si="725"/>
        <v>0</v>
      </c>
      <c r="D399" s="153"/>
      <c r="E399" s="153"/>
      <c r="F399" s="154">
        <f t="shared" si="726"/>
        <v>412</v>
      </c>
      <c r="G399" s="155"/>
      <c r="H399" s="155"/>
      <c r="I399" s="155">
        <v>412</v>
      </c>
      <c r="J399" s="155"/>
      <c r="K399" s="155"/>
      <c r="L399" s="155"/>
      <c r="M399" s="155"/>
      <c r="N399" s="156"/>
      <c r="O399" s="155"/>
      <c r="P399" s="63"/>
    </row>
    <row r="400" spans="1:16" ht="21.75" customHeight="1" x14ac:dyDescent="0.35">
      <c r="A400" s="158" t="s">
        <v>30</v>
      </c>
      <c r="B400" s="151">
        <f t="shared" si="724"/>
        <v>1225225</v>
      </c>
      <c r="C400" s="152">
        <f t="shared" si="725"/>
        <v>996723</v>
      </c>
      <c r="D400" s="153">
        <f>40011+179327+567861+15234+3398+480+D401</f>
        <v>806311</v>
      </c>
      <c r="E400" s="153">
        <f>9438+43308+133959+3594+113+E401</f>
        <v>190412</v>
      </c>
      <c r="F400" s="154">
        <f t="shared" si="726"/>
        <v>221751</v>
      </c>
      <c r="G400" s="155">
        <f>200+G401</f>
        <v>200</v>
      </c>
      <c r="H400" s="155">
        <f>62251+H401</f>
        <v>62998</v>
      </c>
      <c r="I400" s="155">
        <f>155953+I401</f>
        <v>158553</v>
      </c>
      <c r="J400" s="155">
        <f t="shared" ref="J400" si="850">+J401</f>
        <v>0</v>
      </c>
      <c r="K400" s="155">
        <f t="shared" ref="K400" si="851">+K401</f>
        <v>0</v>
      </c>
      <c r="L400" s="155">
        <f t="shared" ref="L400" si="852">+L401</f>
        <v>0</v>
      </c>
      <c r="M400" s="155">
        <f t="shared" ref="M400" si="853">+M401</f>
        <v>0</v>
      </c>
      <c r="N400" s="156">
        <f>1105+N401</f>
        <v>6751</v>
      </c>
      <c r="O400" s="153">
        <f>+O401</f>
        <v>0</v>
      </c>
      <c r="P400" s="63">
        <f>+P401</f>
        <v>0</v>
      </c>
    </row>
    <row r="401" spans="1:16" ht="15" customHeight="1" x14ac:dyDescent="0.35">
      <c r="A401" s="157" t="s">
        <v>724</v>
      </c>
      <c r="B401" s="151">
        <f t="shared" si="724"/>
        <v>8993</v>
      </c>
      <c r="C401" s="152">
        <f t="shared" si="725"/>
        <v>0</v>
      </c>
      <c r="D401" s="153"/>
      <c r="E401" s="153"/>
      <c r="F401" s="154">
        <f t="shared" si="726"/>
        <v>3347</v>
      </c>
      <c r="G401" s="155"/>
      <c r="H401" s="155">
        <v>747</v>
      </c>
      <c r="I401" s="155">
        <v>2600</v>
      </c>
      <c r="J401" s="155"/>
      <c r="K401" s="155"/>
      <c r="L401" s="155"/>
      <c r="M401" s="155"/>
      <c r="N401" s="156">
        <v>5646</v>
      </c>
      <c r="O401" s="155"/>
      <c r="P401" s="63"/>
    </row>
    <row r="402" spans="1:16" ht="24.75" customHeight="1" x14ac:dyDescent="0.35">
      <c r="A402" s="158" t="s">
        <v>508</v>
      </c>
      <c r="B402" s="151">
        <f t="shared" si="724"/>
        <v>1053639</v>
      </c>
      <c r="C402" s="152">
        <f t="shared" si="725"/>
        <v>915085</v>
      </c>
      <c r="D402" s="153">
        <f>7292+178802+508886+20866+3400+480+19215+1359+D403</f>
        <v>740300</v>
      </c>
      <c r="E402" s="153">
        <f>1720+43130+120046+4922+113+4533+321+E403</f>
        <v>174785</v>
      </c>
      <c r="F402" s="154">
        <f t="shared" si="726"/>
        <v>121398</v>
      </c>
      <c r="G402" s="155">
        <f>280+G403</f>
        <v>280</v>
      </c>
      <c r="H402" s="155">
        <f>32005+H403</f>
        <v>32005</v>
      </c>
      <c r="I402" s="155">
        <f>84326+I403</f>
        <v>88458</v>
      </c>
      <c r="J402" s="155">
        <f>213+J403</f>
        <v>213</v>
      </c>
      <c r="K402" s="155">
        <f>442+K403</f>
        <v>442</v>
      </c>
      <c r="L402" s="155">
        <f t="shared" ref="L402" si="854">+L403</f>
        <v>0</v>
      </c>
      <c r="M402" s="155">
        <f t="shared" ref="M402" si="855">+M403</f>
        <v>0</v>
      </c>
      <c r="N402" s="156">
        <f>15000+N403</f>
        <v>17156</v>
      </c>
      <c r="O402" s="153">
        <f>+O403</f>
        <v>0</v>
      </c>
      <c r="P402" s="63">
        <f>+P403</f>
        <v>0</v>
      </c>
    </row>
    <row r="403" spans="1:16" ht="15" customHeight="1" x14ac:dyDescent="0.35">
      <c r="A403" s="157" t="s">
        <v>724</v>
      </c>
      <c r="B403" s="151">
        <f t="shared" ref="B403:B466" si="856">SUM(C403+F403,L403,M403,N403,O403,P403)</f>
        <v>6288</v>
      </c>
      <c r="C403" s="152">
        <f t="shared" ref="C403:C466" si="857">D403+E403</f>
        <v>0</v>
      </c>
      <c r="D403" s="153"/>
      <c r="E403" s="153"/>
      <c r="F403" s="154">
        <f t="shared" ref="F403:F466" si="858">SUM(G403,H403,I403,J403,K403)</f>
        <v>4132</v>
      </c>
      <c r="G403" s="155"/>
      <c r="H403" s="155"/>
      <c r="I403" s="155">
        <v>4132</v>
      </c>
      <c r="J403" s="155"/>
      <c r="K403" s="155"/>
      <c r="L403" s="155"/>
      <c r="M403" s="155"/>
      <c r="N403" s="156">
        <v>2156</v>
      </c>
      <c r="O403" s="155"/>
      <c r="P403" s="63"/>
    </row>
    <row r="404" spans="1:16" ht="30" customHeight="1" x14ac:dyDescent="0.35">
      <c r="A404" s="158" t="s">
        <v>40</v>
      </c>
      <c r="B404" s="151">
        <f t="shared" si="856"/>
        <v>1323998</v>
      </c>
      <c r="C404" s="152">
        <f t="shared" si="857"/>
        <v>1087223</v>
      </c>
      <c r="D404" s="153">
        <f>42858+179138+373108+11282+260186+11716+3400+D405</f>
        <v>881688</v>
      </c>
      <c r="E404" s="153">
        <f>10110+43369+88016+2662+61378+E405</f>
        <v>205535</v>
      </c>
      <c r="F404" s="154">
        <f t="shared" si="858"/>
        <v>210595</v>
      </c>
      <c r="G404" s="155">
        <f>720+G405</f>
        <v>720</v>
      </c>
      <c r="H404" s="155">
        <f>88555+H405</f>
        <v>88555</v>
      </c>
      <c r="I404" s="155">
        <f>118250+I405</f>
        <v>121170</v>
      </c>
      <c r="J404" s="155">
        <f>+J405</f>
        <v>0</v>
      </c>
      <c r="K404" s="155">
        <f>150+K405</f>
        <v>150</v>
      </c>
      <c r="L404" s="155">
        <f t="shared" ref="L404" si="859">+L405</f>
        <v>0</v>
      </c>
      <c r="M404" s="155">
        <f t="shared" ref="M404" si="860">+M405</f>
        <v>0</v>
      </c>
      <c r="N404" s="156">
        <f>7000+N405</f>
        <v>9680</v>
      </c>
      <c r="O404" s="155">
        <f>16500+O405</f>
        <v>16500</v>
      </c>
      <c r="P404" s="63">
        <f>+P405</f>
        <v>0</v>
      </c>
    </row>
    <row r="405" spans="1:16" ht="15" customHeight="1" x14ac:dyDescent="0.35">
      <c r="A405" s="157" t="s">
        <v>724</v>
      </c>
      <c r="B405" s="151">
        <f t="shared" si="856"/>
        <v>5600</v>
      </c>
      <c r="C405" s="152">
        <f t="shared" si="857"/>
        <v>0</v>
      </c>
      <c r="D405" s="153"/>
      <c r="E405" s="153"/>
      <c r="F405" s="154">
        <f t="shared" si="858"/>
        <v>2920</v>
      </c>
      <c r="G405" s="155"/>
      <c r="H405" s="155"/>
      <c r="I405" s="155">
        <v>2920</v>
      </c>
      <c r="J405" s="155"/>
      <c r="K405" s="155"/>
      <c r="L405" s="155"/>
      <c r="M405" s="155"/>
      <c r="N405" s="156">
        <v>2680</v>
      </c>
      <c r="O405" s="155"/>
      <c r="P405" s="63"/>
    </row>
    <row r="406" spans="1:16" ht="25.5" customHeight="1" x14ac:dyDescent="0.35">
      <c r="A406" s="158" t="s">
        <v>99</v>
      </c>
      <c r="B406" s="151">
        <f t="shared" si="856"/>
        <v>765494</v>
      </c>
      <c r="C406" s="152">
        <f t="shared" si="857"/>
        <v>659806</v>
      </c>
      <c r="D406" s="153">
        <f>42573+67046+163508+208628+10146+33323+9000+1359+D407</f>
        <v>535583</v>
      </c>
      <c r="E406" s="153">
        <f>10043+15816+38572+49216+7861+2394+321+E407</f>
        <v>124223</v>
      </c>
      <c r="F406" s="154">
        <f t="shared" si="858"/>
        <v>103988</v>
      </c>
      <c r="G406" s="155">
        <f>+G407</f>
        <v>0</v>
      </c>
      <c r="H406" s="155">
        <f>31967+H407</f>
        <v>30467</v>
      </c>
      <c r="I406" s="155">
        <f>68340+I407</f>
        <v>72963</v>
      </c>
      <c r="J406" s="155">
        <f t="shared" ref="J406" si="861">+J407</f>
        <v>0</v>
      </c>
      <c r="K406" s="155">
        <f>558+K407</f>
        <v>558</v>
      </c>
      <c r="L406" s="155">
        <f t="shared" ref="L406" si="862">+L407</f>
        <v>0</v>
      </c>
      <c r="M406" s="155">
        <f t="shared" ref="M406" si="863">+M407</f>
        <v>0</v>
      </c>
      <c r="N406" s="156">
        <f>700+N407</f>
        <v>1700</v>
      </c>
      <c r="O406" s="153">
        <f>+O407</f>
        <v>0</v>
      </c>
      <c r="P406" s="63">
        <f>+P407</f>
        <v>0</v>
      </c>
    </row>
    <row r="407" spans="1:16" ht="15" customHeight="1" x14ac:dyDescent="0.35">
      <c r="A407" s="157" t="s">
        <v>724</v>
      </c>
      <c r="B407" s="151">
        <f t="shared" si="856"/>
        <v>4123</v>
      </c>
      <c r="C407" s="152">
        <f t="shared" si="857"/>
        <v>0</v>
      </c>
      <c r="D407" s="153"/>
      <c r="E407" s="153"/>
      <c r="F407" s="154">
        <f t="shared" si="858"/>
        <v>3123</v>
      </c>
      <c r="G407" s="155"/>
      <c r="H407" s="155">
        <v>-1500</v>
      </c>
      <c r="I407" s="155">
        <f>3123+1500</f>
        <v>4623</v>
      </c>
      <c r="J407" s="155"/>
      <c r="K407" s="155"/>
      <c r="L407" s="155"/>
      <c r="M407" s="155"/>
      <c r="N407" s="156">
        <v>1000</v>
      </c>
      <c r="O407" s="155"/>
      <c r="P407" s="63"/>
    </row>
    <row r="408" spans="1:16" ht="23.25" customHeight="1" x14ac:dyDescent="0.35">
      <c r="A408" s="158" t="s">
        <v>94</v>
      </c>
      <c r="B408" s="151">
        <f t="shared" si="856"/>
        <v>870997</v>
      </c>
      <c r="C408" s="152">
        <f t="shared" si="857"/>
        <v>763192</v>
      </c>
      <c r="D408" s="153">
        <f>29142+76085+160238+270760+54364+12409+3000+9925+420+2719+D409</f>
        <v>619062</v>
      </c>
      <c r="E408" s="153">
        <f>6874+17949+38944+63872+12824+2927+99+641+E409</f>
        <v>144130</v>
      </c>
      <c r="F408" s="154">
        <f t="shared" si="858"/>
        <v>105055</v>
      </c>
      <c r="G408" s="155">
        <f>+G409</f>
        <v>0</v>
      </c>
      <c r="H408" s="155">
        <f>26679+H409</f>
        <v>26679</v>
      </c>
      <c r="I408" s="155">
        <f>75462+I409</f>
        <v>78166</v>
      </c>
      <c r="J408" s="155">
        <f t="shared" ref="J408" si="864">+J409</f>
        <v>0</v>
      </c>
      <c r="K408" s="155">
        <f>210+K409</f>
        <v>210</v>
      </c>
      <c r="L408" s="155">
        <f t="shared" ref="L408" si="865">+L409</f>
        <v>0</v>
      </c>
      <c r="M408" s="155">
        <f t="shared" ref="M408" si="866">+M409</f>
        <v>0</v>
      </c>
      <c r="N408" s="156">
        <f>300+N409</f>
        <v>2750</v>
      </c>
      <c r="O408" s="153">
        <f>+O409</f>
        <v>0</v>
      </c>
      <c r="P408" s="63">
        <f>+P409</f>
        <v>0</v>
      </c>
    </row>
    <row r="409" spans="1:16" ht="15" customHeight="1" x14ac:dyDescent="0.35">
      <c r="A409" s="157" t="s">
        <v>724</v>
      </c>
      <c r="B409" s="151">
        <f t="shared" si="856"/>
        <v>5154</v>
      </c>
      <c r="C409" s="152">
        <f t="shared" si="857"/>
        <v>0</v>
      </c>
      <c r="D409" s="153"/>
      <c r="E409" s="153"/>
      <c r="F409" s="154">
        <f t="shared" si="858"/>
        <v>2704</v>
      </c>
      <c r="G409" s="155"/>
      <c r="H409" s="155"/>
      <c r="I409" s="155">
        <v>2704</v>
      </c>
      <c r="J409" s="155"/>
      <c r="K409" s="155"/>
      <c r="L409" s="155"/>
      <c r="M409" s="155"/>
      <c r="N409" s="156">
        <v>2450</v>
      </c>
      <c r="O409" s="155"/>
      <c r="P409" s="63"/>
    </row>
    <row r="410" spans="1:16" ht="33.75" customHeight="1" x14ac:dyDescent="0.35">
      <c r="A410" s="158" t="s">
        <v>101</v>
      </c>
      <c r="B410" s="151">
        <f t="shared" si="856"/>
        <v>1007483</v>
      </c>
      <c r="C410" s="152">
        <f t="shared" si="857"/>
        <v>857791</v>
      </c>
      <c r="D410" s="159">
        <f>210646+13156+82417+340299+28061+15234+430+420+2719+D411</f>
        <v>693382</v>
      </c>
      <c r="E410" s="159">
        <f>50633+3104+19442+80277+6619+3594+99+641+E411</f>
        <v>164409</v>
      </c>
      <c r="F410" s="154">
        <f t="shared" si="858"/>
        <v>145772</v>
      </c>
      <c r="G410" s="162">
        <f>180+G411</f>
        <v>180</v>
      </c>
      <c r="H410" s="162">
        <f>38362+H411</f>
        <v>38362</v>
      </c>
      <c r="I410" s="162">
        <f>104109+I411</f>
        <v>107030</v>
      </c>
      <c r="J410" s="155">
        <f t="shared" ref="J410" si="867">+J411</f>
        <v>0</v>
      </c>
      <c r="K410" s="162">
        <f>200+K411</f>
        <v>200</v>
      </c>
      <c r="L410" s="155">
        <f t="shared" ref="L410" si="868">+L411</f>
        <v>0</v>
      </c>
      <c r="M410" s="155">
        <f t="shared" ref="M410" si="869">+M411</f>
        <v>0</v>
      </c>
      <c r="N410" s="160">
        <f>1000+N411</f>
        <v>3920</v>
      </c>
      <c r="O410" s="153">
        <f>+O411</f>
        <v>0</v>
      </c>
      <c r="P410" s="63">
        <f>+P411</f>
        <v>0</v>
      </c>
    </row>
    <row r="411" spans="1:16" ht="15" customHeight="1" x14ac:dyDescent="0.35">
      <c r="A411" s="157" t="s">
        <v>724</v>
      </c>
      <c r="B411" s="151">
        <f t="shared" si="856"/>
        <v>5841</v>
      </c>
      <c r="C411" s="152">
        <f t="shared" si="857"/>
        <v>0</v>
      </c>
      <c r="D411" s="159"/>
      <c r="E411" s="159"/>
      <c r="F411" s="154">
        <f t="shared" si="858"/>
        <v>2921</v>
      </c>
      <c r="G411" s="162"/>
      <c r="H411" s="162"/>
      <c r="I411" s="162">
        <v>2921</v>
      </c>
      <c r="J411" s="155"/>
      <c r="K411" s="162"/>
      <c r="L411" s="155"/>
      <c r="M411" s="155"/>
      <c r="N411" s="160">
        <v>2920</v>
      </c>
      <c r="O411" s="162"/>
      <c r="P411" s="63"/>
    </row>
    <row r="412" spans="1:16" ht="22.5" customHeight="1" x14ac:dyDescent="0.35">
      <c r="A412" s="158" t="s">
        <v>31</v>
      </c>
      <c r="B412" s="151">
        <f t="shared" si="856"/>
        <v>891154</v>
      </c>
      <c r="C412" s="152">
        <f t="shared" si="857"/>
        <v>849150</v>
      </c>
      <c r="D412" s="153">
        <f>54548+49723+565323+14661+588+D413</f>
        <v>684843</v>
      </c>
      <c r="E412" s="153">
        <f>12868+14581+133360+3359+139+E413</f>
        <v>164307</v>
      </c>
      <c r="F412" s="154">
        <f t="shared" si="858"/>
        <v>38844</v>
      </c>
      <c r="G412" s="155">
        <f>1940+G413</f>
        <v>1940</v>
      </c>
      <c r="H412" s="155">
        <f>23396+H413</f>
        <v>23396</v>
      </c>
      <c r="I412" s="155">
        <f>13136+I413</f>
        <v>13136</v>
      </c>
      <c r="J412" s="155">
        <f t="shared" ref="J412" si="870">+J413</f>
        <v>0</v>
      </c>
      <c r="K412" s="155">
        <f>372+K413</f>
        <v>372</v>
      </c>
      <c r="L412" s="155">
        <f t="shared" ref="L412" si="871">+L413</f>
        <v>0</v>
      </c>
      <c r="M412" s="155">
        <f t="shared" ref="M412" si="872">+M413</f>
        <v>0</v>
      </c>
      <c r="N412" s="156">
        <f>3160+N413</f>
        <v>3160</v>
      </c>
      <c r="O412" s="153">
        <f>+O413</f>
        <v>0</v>
      </c>
      <c r="P412" s="63">
        <f>+P413</f>
        <v>0</v>
      </c>
    </row>
    <row r="413" spans="1:16" ht="15" customHeight="1" x14ac:dyDescent="0.35">
      <c r="A413" s="157" t="s">
        <v>724</v>
      </c>
      <c r="B413" s="151">
        <f t="shared" si="856"/>
        <v>0</v>
      </c>
      <c r="C413" s="152">
        <f t="shared" si="857"/>
        <v>0</v>
      </c>
      <c r="D413" s="153"/>
      <c r="E413" s="153"/>
      <c r="F413" s="154">
        <f t="shared" si="858"/>
        <v>0</v>
      </c>
      <c r="G413" s="155"/>
      <c r="H413" s="155"/>
      <c r="I413" s="155"/>
      <c r="J413" s="155"/>
      <c r="K413" s="155"/>
      <c r="L413" s="155"/>
      <c r="M413" s="155"/>
      <c r="N413" s="156"/>
      <c r="O413" s="155"/>
      <c r="P413" s="63"/>
    </row>
    <row r="414" spans="1:16" ht="24.75" customHeight="1" x14ac:dyDescent="0.35">
      <c r="A414" s="158" t="s">
        <v>32</v>
      </c>
      <c r="B414" s="151">
        <f t="shared" si="856"/>
        <v>294242</v>
      </c>
      <c r="C414" s="152">
        <f t="shared" si="857"/>
        <v>260930</v>
      </c>
      <c r="D414" s="153">
        <f>107815+26845+68315+7282+588+D415</f>
        <v>210845</v>
      </c>
      <c r="E414" s="153">
        <f>25433+6680+16115+1718+139+E415</f>
        <v>50085</v>
      </c>
      <c r="F414" s="154">
        <f t="shared" si="858"/>
        <v>33163</v>
      </c>
      <c r="G414" s="155">
        <f>260+G415</f>
        <v>260</v>
      </c>
      <c r="H414" s="155">
        <f>12998+H415</f>
        <v>13193</v>
      </c>
      <c r="I414" s="155">
        <f>20054+I415</f>
        <v>19710</v>
      </c>
      <c r="J414" s="155">
        <f t="shared" ref="J414" si="873">+J415</f>
        <v>0</v>
      </c>
      <c r="K414" s="155">
        <f>+K415</f>
        <v>0</v>
      </c>
      <c r="L414" s="155">
        <f t="shared" ref="L414" si="874">+L415</f>
        <v>0</v>
      </c>
      <c r="M414" s="155">
        <f t="shared" ref="M414" si="875">+M415</f>
        <v>0</v>
      </c>
      <c r="N414" s="156">
        <f>+N415</f>
        <v>149</v>
      </c>
      <c r="O414" s="153">
        <f>+O415</f>
        <v>0</v>
      </c>
      <c r="P414" s="63">
        <f>+P415</f>
        <v>0</v>
      </c>
    </row>
    <row r="415" spans="1:16" ht="15" customHeight="1" x14ac:dyDescent="0.35">
      <c r="A415" s="157" t="s">
        <v>724</v>
      </c>
      <c r="B415" s="151">
        <f t="shared" si="856"/>
        <v>0</v>
      </c>
      <c r="C415" s="152">
        <f t="shared" si="857"/>
        <v>0</v>
      </c>
      <c r="D415" s="153"/>
      <c r="E415" s="153"/>
      <c r="F415" s="154">
        <f t="shared" si="858"/>
        <v>-149</v>
      </c>
      <c r="G415" s="155"/>
      <c r="H415" s="155">
        <v>195</v>
      </c>
      <c r="I415" s="155">
        <v>-344</v>
      </c>
      <c r="J415" s="155"/>
      <c r="K415" s="155"/>
      <c r="L415" s="155"/>
      <c r="M415" s="155"/>
      <c r="N415" s="156">
        <v>149</v>
      </c>
      <c r="O415" s="155"/>
      <c r="P415" s="63"/>
    </row>
    <row r="416" spans="1:16" ht="24.75" customHeight="1" x14ac:dyDescent="0.35">
      <c r="A416" s="158" t="s">
        <v>33</v>
      </c>
      <c r="B416" s="151">
        <f t="shared" si="856"/>
        <v>711775</v>
      </c>
      <c r="C416" s="152">
        <f t="shared" si="857"/>
        <v>594372</v>
      </c>
      <c r="D416" s="153">
        <f>65384+84087+318355+12409+D417</f>
        <v>480235</v>
      </c>
      <c r="E416" s="153">
        <f>15424+20686+75100+2927+E417</f>
        <v>114137</v>
      </c>
      <c r="F416" s="154">
        <f t="shared" si="858"/>
        <v>114641</v>
      </c>
      <c r="G416" s="155">
        <f>7675+G417</f>
        <v>8675</v>
      </c>
      <c r="H416" s="155">
        <f>46428+H417</f>
        <v>45428</v>
      </c>
      <c r="I416" s="155">
        <f>57381+3580+I417</f>
        <v>59938</v>
      </c>
      <c r="J416" s="155">
        <f t="shared" ref="J416" si="876">+J417</f>
        <v>0</v>
      </c>
      <c r="K416" s="155">
        <f>600+K417</f>
        <v>600</v>
      </c>
      <c r="L416" s="155">
        <f t="shared" ref="L416" si="877">+L417</f>
        <v>1023</v>
      </c>
      <c r="M416" s="155">
        <f t="shared" ref="M416" si="878">+M417</f>
        <v>0</v>
      </c>
      <c r="N416" s="156">
        <f>139+N417</f>
        <v>139</v>
      </c>
      <c r="O416" s="155">
        <f>1600+O417</f>
        <v>1600</v>
      </c>
      <c r="P416" s="63">
        <f>+P417</f>
        <v>0</v>
      </c>
    </row>
    <row r="417" spans="1:16" ht="15" customHeight="1" x14ac:dyDescent="0.35">
      <c r="A417" s="157" t="s">
        <v>724</v>
      </c>
      <c r="B417" s="151">
        <f t="shared" si="856"/>
        <v>0</v>
      </c>
      <c r="C417" s="152">
        <f t="shared" si="857"/>
        <v>0</v>
      </c>
      <c r="D417" s="153"/>
      <c r="E417" s="153"/>
      <c r="F417" s="154">
        <f t="shared" si="858"/>
        <v>-1023</v>
      </c>
      <c r="G417" s="155">
        <v>1000</v>
      </c>
      <c r="H417" s="155">
        <v>-1000</v>
      </c>
      <c r="I417" s="155">
        <v>-1023</v>
      </c>
      <c r="J417" s="155"/>
      <c r="K417" s="155"/>
      <c r="L417" s="155">
        <v>1023</v>
      </c>
      <c r="M417" s="155"/>
      <c r="N417" s="156"/>
      <c r="O417" s="155"/>
      <c r="P417" s="63"/>
    </row>
    <row r="418" spans="1:16" ht="22.5" customHeight="1" x14ac:dyDescent="0.35">
      <c r="A418" s="158" t="s">
        <v>39</v>
      </c>
      <c r="B418" s="151">
        <f t="shared" si="856"/>
        <v>240877</v>
      </c>
      <c r="C418" s="152">
        <f t="shared" si="857"/>
        <v>115077</v>
      </c>
      <c r="D418" s="153">
        <f>93112+D419</f>
        <v>93112</v>
      </c>
      <c r="E418" s="153">
        <f>21965+E419</f>
        <v>21965</v>
      </c>
      <c r="F418" s="154">
        <f t="shared" si="858"/>
        <v>125116</v>
      </c>
      <c r="G418" s="155">
        <f>+G419</f>
        <v>0</v>
      </c>
      <c r="H418" s="155">
        <f>108550+H419</f>
        <v>108550</v>
      </c>
      <c r="I418" s="155">
        <f>16566+I419</f>
        <v>16566</v>
      </c>
      <c r="J418" s="155">
        <f t="shared" ref="J418" si="879">+J419</f>
        <v>0</v>
      </c>
      <c r="K418" s="155">
        <f>+K419</f>
        <v>0</v>
      </c>
      <c r="L418" s="155">
        <f t="shared" ref="L418" si="880">+L419</f>
        <v>0</v>
      </c>
      <c r="M418" s="155">
        <f>+M419</f>
        <v>0</v>
      </c>
      <c r="N418" s="156">
        <f>684+N419</f>
        <v>684</v>
      </c>
      <c r="O418" s="153">
        <f>+O419</f>
        <v>0</v>
      </c>
      <c r="P418" s="63">
        <f>+P419</f>
        <v>0</v>
      </c>
    </row>
    <row r="419" spans="1:16" ht="15" customHeight="1" x14ac:dyDescent="0.35">
      <c r="A419" s="157" t="s">
        <v>724</v>
      </c>
      <c r="B419" s="151">
        <f t="shared" si="856"/>
        <v>0</v>
      </c>
      <c r="C419" s="152">
        <f t="shared" si="857"/>
        <v>0</v>
      </c>
      <c r="D419" s="153"/>
      <c r="E419" s="153"/>
      <c r="F419" s="154">
        <f t="shared" si="858"/>
        <v>0</v>
      </c>
      <c r="G419" s="155"/>
      <c r="H419" s="155"/>
      <c r="I419" s="155"/>
      <c r="J419" s="155"/>
      <c r="K419" s="155"/>
      <c r="L419" s="155"/>
      <c r="M419" s="155"/>
      <c r="N419" s="156"/>
      <c r="O419" s="155"/>
      <c r="P419" s="63"/>
    </row>
    <row r="420" spans="1:16" ht="30" customHeight="1" x14ac:dyDescent="0.35">
      <c r="A420" s="158" t="s">
        <v>155</v>
      </c>
      <c r="B420" s="151">
        <f t="shared" si="856"/>
        <v>204054</v>
      </c>
      <c r="C420" s="152">
        <f t="shared" si="857"/>
        <v>168872</v>
      </c>
      <c r="D420" s="153">
        <f>22351+67203+47084+D421</f>
        <v>136638</v>
      </c>
      <c r="E420" s="153">
        <f>5273+15854+11107+E421</f>
        <v>32234</v>
      </c>
      <c r="F420" s="154">
        <f t="shared" si="858"/>
        <v>35182</v>
      </c>
      <c r="G420" s="155">
        <f>700+G421</f>
        <v>700</v>
      </c>
      <c r="H420" s="155">
        <f>19077+H421</f>
        <v>19077</v>
      </c>
      <c r="I420" s="155">
        <f>15405+I421</f>
        <v>15405</v>
      </c>
      <c r="J420" s="155">
        <f t="shared" ref="J420" si="881">+J421</f>
        <v>0</v>
      </c>
      <c r="K420" s="155">
        <f>+K421</f>
        <v>0</v>
      </c>
      <c r="L420" s="155">
        <f t="shared" ref="L420" si="882">+L421</f>
        <v>0</v>
      </c>
      <c r="M420" s="155">
        <f t="shared" ref="M420" si="883">+M421</f>
        <v>0</v>
      </c>
      <c r="N420" s="156">
        <f>+N421</f>
        <v>0</v>
      </c>
      <c r="O420" s="153">
        <f>+O421</f>
        <v>0</v>
      </c>
      <c r="P420" s="63">
        <f>+P421</f>
        <v>0</v>
      </c>
    </row>
    <row r="421" spans="1:16" ht="15" customHeight="1" x14ac:dyDescent="0.35">
      <c r="A421" s="157" t="s">
        <v>724</v>
      </c>
      <c r="B421" s="151">
        <f t="shared" si="856"/>
        <v>0</v>
      </c>
      <c r="C421" s="152">
        <f t="shared" si="857"/>
        <v>0</v>
      </c>
      <c r="D421" s="153"/>
      <c r="E421" s="153"/>
      <c r="F421" s="154">
        <f t="shared" si="858"/>
        <v>0</v>
      </c>
      <c r="G421" s="155"/>
      <c r="H421" s="155"/>
      <c r="I421" s="155"/>
      <c r="J421" s="155"/>
      <c r="K421" s="155"/>
      <c r="L421" s="155"/>
      <c r="M421" s="155"/>
      <c r="N421" s="156"/>
      <c r="O421" s="155"/>
      <c r="P421" s="63"/>
    </row>
    <row r="422" spans="1:16" ht="22.5" customHeight="1" x14ac:dyDescent="0.35">
      <c r="A422" s="158" t="s">
        <v>98</v>
      </c>
      <c r="B422" s="151">
        <f t="shared" si="856"/>
        <v>280445</v>
      </c>
      <c r="C422" s="152">
        <f t="shared" si="857"/>
        <v>271208</v>
      </c>
      <c r="D422" s="153">
        <f>218432+D423</f>
        <v>218432</v>
      </c>
      <c r="E422" s="153">
        <f>52776+E423</f>
        <v>52776</v>
      </c>
      <c r="F422" s="154">
        <f t="shared" si="858"/>
        <v>9237</v>
      </c>
      <c r="G422" s="155">
        <f>718+G423</f>
        <v>718</v>
      </c>
      <c r="H422" s="155">
        <f>3371+H423</f>
        <v>3371</v>
      </c>
      <c r="I422" s="155">
        <f>4988+I423</f>
        <v>4988</v>
      </c>
      <c r="J422" s="155">
        <f t="shared" ref="J422" si="884">+J423</f>
        <v>0</v>
      </c>
      <c r="K422" s="155">
        <f>160+K423</f>
        <v>160</v>
      </c>
      <c r="L422" s="155">
        <f t="shared" ref="L422" si="885">+L423</f>
        <v>0</v>
      </c>
      <c r="M422" s="155">
        <f t="shared" ref="M422" si="886">+M423</f>
        <v>0</v>
      </c>
      <c r="N422" s="156">
        <f>+N423</f>
        <v>0</v>
      </c>
      <c r="O422" s="153">
        <f>+O423</f>
        <v>0</v>
      </c>
      <c r="P422" s="63">
        <f>+P423</f>
        <v>0</v>
      </c>
    </row>
    <row r="423" spans="1:16" ht="15" customHeight="1" x14ac:dyDescent="0.35">
      <c r="A423" s="157" t="s">
        <v>724</v>
      </c>
      <c r="B423" s="151">
        <f t="shared" si="856"/>
        <v>0</v>
      </c>
      <c r="C423" s="152">
        <f t="shared" si="857"/>
        <v>0</v>
      </c>
      <c r="D423" s="153"/>
      <c r="E423" s="153"/>
      <c r="F423" s="154">
        <f t="shared" si="858"/>
        <v>0</v>
      </c>
      <c r="G423" s="155"/>
      <c r="H423" s="155"/>
      <c r="I423" s="155"/>
      <c r="J423" s="155"/>
      <c r="K423" s="155"/>
      <c r="L423" s="155"/>
      <c r="M423" s="155"/>
      <c r="N423" s="156"/>
      <c r="O423" s="155"/>
      <c r="P423" s="63"/>
    </row>
    <row r="424" spans="1:16" ht="21" customHeight="1" x14ac:dyDescent="0.35">
      <c r="A424" s="158" t="s">
        <v>103</v>
      </c>
      <c r="B424" s="151">
        <f t="shared" si="856"/>
        <v>51321</v>
      </c>
      <c r="C424" s="152">
        <f t="shared" si="857"/>
        <v>7800</v>
      </c>
      <c r="D424" s="153">
        <f>7800+D425</f>
        <v>7800</v>
      </c>
      <c r="E424" s="153">
        <f>+E425</f>
        <v>0</v>
      </c>
      <c r="F424" s="154">
        <f t="shared" si="858"/>
        <v>36021</v>
      </c>
      <c r="G424" s="155">
        <f>1287+G425</f>
        <v>1287</v>
      </c>
      <c r="H424" s="155">
        <f>4356+H425</f>
        <v>4356</v>
      </c>
      <c r="I424" s="155">
        <f>30978+I425</f>
        <v>30378</v>
      </c>
      <c r="J424" s="155">
        <f t="shared" ref="J424" si="887">+J425</f>
        <v>0</v>
      </c>
      <c r="K424" s="155">
        <f>+K425</f>
        <v>0</v>
      </c>
      <c r="L424" s="155">
        <f t="shared" ref="L424" si="888">+L425</f>
        <v>0</v>
      </c>
      <c r="M424" s="155">
        <f t="shared" ref="M424" si="889">+M425</f>
        <v>0</v>
      </c>
      <c r="N424" s="156">
        <f>+N425</f>
        <v>0</v>
      </c>
      <c r="O424" s="155">
        <f>7500+O425</f>
        <v>7500</v>
      </c>
      <c r="P424" s="63">
        <f>+P425</f>
        <v>0</v>
      </c>
    </row>
    <row r="425" spans="1:16" ht="15" customHeight="1" x14ac:dyDescent="0.35">
      <c r="A425" s="157" t="s">
        <v>724</v>
      </c>
      <c r="B425" s="151">
        <f t="shared" si="856"/>
        <v>-600</v>
      </c>
      <c r="C425" s="152">
        <f t="shared" si="857"/>
        <v>0</v>
      </c>
      <c r="D425" s="153"/>
      <c r="E425" s="165"/>
      <c r="F425" s="154">
        <f t="shared" si="858"/>
        <v>-600</v>
      </c>
      <c r="G425" s="155"/>
      <c r="H425" s="155"/>
      <c r="I425" s="155">
        <v>-600</v>
      </c>
      <c r="J425" s="155"/>
      <c r="K425" s="155"/>
      <c r="L425" s="155"/>
      <c r="M425" s="155"/>
      <c r="N425" s="156"/>
      <c r="O425" s="155"/>
      <c r="P425" s="63"/>
    </row>
    <row r="426" spans="1:16" ht="22.5" customHeight="1" x14ac:dyDescent="0.35">
      <c r="A426" s="158" t="s">
        <v>44</v>
      </c>
      <c r="B426" s="151">
        <f t="shared" si="856"/>
        <v>35520</v>
      </c>
      <c r="C426" s="152">
        <f t="shared" si="857"/>
        <v>0</v>
      </c>
      <c r="D426" s="153">
        <f>+D427</f>
        <v>0</v>
      </c>
      <c r="E426" s="153">
        <f>+E427</f>
        <v>0</v>
      </c>
      <c r="F426" s="154">
        <f t="shared" si="858"/>
        <v>35520</v>
      </c>
      <c r="G426" s="155">
        <f>+G427</f>
        <v>0</v>
      </c>
      <c r="H426" s="155">
        <f>+H427</f>
        <v>35220</v>
      </c>
      <c r="I426" s="155">
        <f>+I427</f>
        <v>300</v>
      </c>
      <c r="J426" s="155">
        <f t="shared" ref="J426" si="890">+J427</f>
        <v>0</v>
      </c>
      <c r="K426" s="155">
        <f>+K427</f>
        <v>0</v>
      </c>
      <c r="L426" s="155">
        <f t="shared" ref="L426" si="891">+L427</f>
        <v>0</v>
      </c>
      <c r="M426" s="155">
        <f>+M427</f>
        <v>0</v>
      </c>
      <c r="N426" s="156">
        <f>+N427</f>
        <v>0</v>
      </c>
      <c r="O426" s="153">
        <f>+O427</f>
        <v>0</v>
      </c>
      <c r="P426" s="63">
        <f>+P427</f>
        <v>0</v>
      </c>
    </row>
    <row r="427" spans="1:16" ht="15" customHeight="1" x14ac:dyDescent="0.35">
      <c r="A427" s="157" t="s">
        <v>724</v>
      </c>
      <c r="B427" s="151">
        <f t="shared" si="856"/>
        <v>35520</v>
      </c>
      <c r="C427" s="152">
        <f t="shared" si="857"/>
        <v>0</v>
      </c>
      <c r="D427" s="153"/>
      <c r="E427" s="153"/>
      <c r="F427" s="154">
        <f t="shared" si="858"/>
        <v>35520</v>
      </c>
      <c r="G427" s="155"/>
      <c r="H427" s="155">
        <v>35220</v>
      </c>
      <c r="I427" s="155">
        <v>300</v>
      </c>
      <c r="J427" s="155"/>
      <c r="K427" s="155"/>
      <c r="L427" s="155"/>
      <c r="M427" s="155"/>
      <c r="N427" s="156"/>
      <c r="O427" s="155"/>
      <c r="P427" s="63"/>
    </row>
    <row r="428" spans="1:16" ht="30" customHeight="1" x14ac:dyDescent="0.35">
      <c r="A428" s="150" t="s">
        <v>133</v>
      </c>
      <c r="B428" s="151">
        <f t="shared" si="856"/>
        <v>21122</v>
      </c>
      <c r="C428" s="152">
        <f t="shared" si="857"/>
        <v>7625</v>
      </c>
      <c r="D428" s="153">
        <f>6170+D429</f>
        <v>6170</v>
      </c>
      <c r="E428" s="153">
        <f>1455+E429</f>
        <v>1455</v>
      </c>
      <c r="F428" s="154">
        <f t="shared" si="858"/>
        <v>13497</v>
      </c>
      <c r="G428" s="155">
        <f>+G429</f>
        <v>0</v>
      </c>
      <c r="H428" s="155">
        <f>5897+H429</f>
        <v>6147</v>
      </c>
      <c r="I428" s="155">
        <f>7150+I429</f>
        <v>7150</v>
      </c>
      <c r="J428" s="155">
        <f t="shared" ref="J428" si="892">+J429</f>
        <v>0</v>
      </c>
      <c r="K428" s="155">
        <f>200+K429</f>
        <v>200</v>
      </c>
      <c r="L428" s="155">
        <f t="shared" ref="L428" si="893">+L429</f>
        <v>0</v>
      </c>
      <c r="M428" s="155">
        <f t="shared" ref="M428" si="894">+M429</f>
        <v>0</v>
      </c>
      <c r="N428" s="156">
        <f>+N429</f>
        <v>0</v>
      </c>
      <c r="O428" s="153">
        <f>+O429</f>
        <v>0</v>
      </c>
      <c r="P428" s="63">
        <f>+P429</f>
        <v>0</v>
      </c>
    </row>
    <row r="429" spans="1:16" ht="15" customHeight="1" x14ac:dyDescent="0.35">
      <c r="A429" s="157" t="s">
        <v>724</v>
      </c>
      <c r="B429" s="151">
        <f t="shared" si="856"/>
        <v>250</v>
      </c>
      <c r="C429" s="152">
        <f t="shared" si="857"/>
        <v>0</v>
      </c>
      <c r="D429" s="153"/>
      <c r="E429" s="153"/>
      <c r="F429" s="154">
        <f t="shared" si="858"/>
        <v>250</v>
      </c>
      <c r="G429" s="155"/>
      <c r="H429" s="155">
        <v>250</v>
      </c>
      <c r="I429" s="155"/>
      <c r="J429" s="155"/>
      <c r="K429" s="155"/>
      <c r="L429" s="155"/>
      <c r="M429" s="155"/>
      <c r="N429" s="156"/>
      <c r="O429" s="155"/>
      <c r="P429" s="63"/>
    </row>
    <row r="430" spans="1:16" ht="30" customHeight="1" x14ac:dyDescent="0.35">
      <c r="A430" s="150" t="s">
        <v>119</v>
      </c>
      <c r="B430" s="151">
        <f t="shared" si="856"/>
        <v>22630</v>
      </c>
      <c r="C430" s="152">
        <f t="shared" si="857"/>
        <v>14520</v>
      </c>
      <c r="D430" s="153">
        <f>11748+D431</f>
        <v>11748</v>
      </c>
      <c r="E430" s="153">
        <f>2772+E431</f>
        <v>2772</v>
      </c>
      <c r="F430" s="154">
        <f t="shared" si="858"/>
        <v>8110</v>
      </c>
      <c r="G430" s="155">
        <f>40+G431</f>
        <v>40</v>
      </c>
      <c r="H430" s="155">
        <f>4800+H431</f>
        <v>4800</v>
      </c>
      <c r="I430" s="155">
        <f>3120+I431</f>
        <v>3120</v>
      </c>
      <c r="J430" s="155">
        <f t="shared" ref="J430" si="895">+J431</f>
        <v>0</v>
      </c>
      <c r="K430" s="155">
        <f>150+K431</f>
        <v>150</v>
      </c>
      <c r="L430" s="155">
        <f t="shared" ref="L430" si="896">+L431</f>
        <v>0</v>
      </c>
      <c r="M430" s="155">
        <f t="shared" ref="M430" si="897">+M431</f>
        <v>0</v>
      </c>
      <c r="N430" s="156">
        <f>+N431</f>
        <v>0</v>
      </c>
      <c r="O430" s="153">
        <f>+O431</f>
        <v>0</v>
      </c>
      <c r="P430" s="63">
        <f>+P431</f>
        <v>0</v>
      </c>
    </row>
    <row r="431" spans="1:16" ht="15" customHeight="1" x14ac:dyDescent="0.35">
      <c r="A431" s="157" t="s">
        <v>724</v>
      </c>
      <c r="B431" s="151">
        <f t="shared" si="856"/>
        <v>0</v>
      </c>
      <c r="C431" s="152">
        <f t="shared" si="857"/>
        <v>0</v>
      </c>
      <c r="D431" s="153"/>
      <c r="E431" s="153"/>
      <c r="F431" s="154">
        <f t="shared" si="858"/>
        <v>0</v>
      </c>
      <c r="G431" s="155"/>
      <c r="H431" s="155"/>
      <c r="I431" s="155"/>
      <c r="J431" s="155"/>
      <c r="K431" s="155"/>
      <c r="L431" s="155"/>
      <c r="M431" s="155"/>
      <c r="N431" s="156"/>
      <c r="O431" s="155"/>
      <c r="P431" s="63"/>
    </row>
    <row r="432" spans="1:16" ht="30" customHeight="1" x14ac:dyDescent="0.35">
      <c r="A432" s="150" t="s">
        <v>120</v>
      </c>
      <c r="B432" s="151">
        <f t="shared" si="856"/>
        <v>24304</v>
      </c>
      <c r="C432" s="152">
        <f t="shared" si="857"/>
        <v>14871</v>
      </c>
      <c r="D432" s="153">
        <f>12052+D433</f>
        <v>12052</v>
      </c>
      <c r="E432" s="153">
        <f>2819+E433</f>
        <v>2819</v>
      </c>
      <c r="F432" s="154">
        <f t="shared" si="858"/>
        <v>9340</v>
      </c>
      <c r="G432" s="155">
        <f>100+G433</f>
        <v>100</v>
      </c>
      <c r="H432" s="155">
        <f>5160+H433</f>
        <v>6460</v>
      </c>
      <c r="I432" s="155">
        <f>4038+I433</f>
        <v>2645</v>
      </c>
      <c r="J432" s="155">
        <f t="shared" ref="J432" si="898">+J433</f>
        <v>0</v>
      </c>
      <c r="K432" s="155">
        <f>135+K433</f>
        <v>135</v>
      </c>
      <c r="L432" s="155">
        <f t="shared" ref="L432" si="899">+L433</f>
        <v>0</v>
      </c>
      <c r="M432" s="155">
        <f t="shared" ref="M432" si="900">+M433</f>
        <v>0</v>
      </c>
      <c r="N432" s="156">
        <f>+N433</f>
        <v>93</v>
      </c>
      <c r="O432" s="153">
        <f>+O433</f>
        <v>0</v>
      </c>
      <c r="P432" s="63">
        <f>+P433</f>
        <v>0</v>
      </c>
    </row>
    <row r="433" spans="1:16" ht="15" customHeight="1" x14ac:dyDescent="0.35">
      <c r="A433" s="157" t="s">
        <v>724</v>
      </c>
      <c r="B433" s="151">
        <f t="shared" si="856"/>
        <v>0</v>
      </c>
      <c r="C433" s="152">
        <f t="shared" si="857"/>
        <v>0</v>
      </c>
      <c r="D433" s="153"/>
      <c r="E433" s="153"/>
      <c r="F433" s="154">
        <f t="shared" si="858"/>
        <v>-93</v>
      </c>
      <c r="G433" s="155"/>
      <c r="H433" s="155">
        <v>1300</v>
      </c>
      <c r="I433" s="155">
        <v>-1393</v>
      </c>
      <c r="J433" s="155"/>
      <c r="K433" s="155"/>
      <c r="L433" s="155"/>
      <c r="M433" s="155"/>
      <c r="N433" s="156">
        <v>93</v>
      </c>
      <c r="O433" s="155"/>
      <c r="P433" s="63"/>
    </row>
    <row r="434" spans="1:16" ht="30" customHeight="1" x14ac:dyDescent="0.35">
      <c r="A434" s="150" t="s">
        <v>116</v>
      </c>
      <c r="B434" s="151">
        <f t="shared" si="856"/>
        <v>24679</v>
      </c>
      <c r="C434" s="152">
        <f t="shared" si="857"/>
        <v>13879</v>
      </c>
      <c r="D434" s="153">
        <f>11249+D435</f>
        <v>11249</v>
      </c>
      <c r="E434" s="153">
        <f>2630+E435</f>
        <v>2630</v>
      </c>
      <c r="F434" s="154">
        <f t="shared" si="858"/>
        <v>10569</v>
      </c>
      <c r="G434" s="155">
        <f>40+G435</f>
        <v>40</v>
      </c>
      <c r="H434" s="155">
        <f>3860+H435</f>
        <v>3860</v>
      </c>
      <c r="I434" s="155">
        <f>6730+I435</f>
        <v>6499</v>
      </c>
      <c r="J434" s="155">
        <f t="shared" ref="J434" si="901">+J435</f>
        <v>0</v>
      </c>
      <c r="K434" s="155">
        <f>170+K435</f>
        <v>170</v>
      </c>
      <c r="L434" s="155">
        <f t="shared" ref="L434" si="902">+L435</f>
        <v>0</v>
      </c>
      <c r="M434" s="155">
        <f t="shared" ref="M434" si="903">+M435</f>
        <v>0</v>
      </c>
      <c r="N434" s="156">
        <f>+N435</f>
        <v>231</v>
      </c>
      <c r="O434" s="153">
        <f>+O435</f>
        <v>0</v>
      </c>
      <c r="P434" s="63">
        <f>+P435</f>
        <v>0</v>
      </c>
    </row>
    <row r="435" spans="1:16" ht="15" customHeight="1" x14ac:dyDescent="0.35">
      <c r="A435" s="157" t="s">
        <v>724</v>
      </c>
      <c r="B435" s="151">
        <f t="shared" si="856"/>
        <v>0</v>
      </c>
      <c r="C435" s="152">
        <f t="shared" si="857"/>
        <v>0</v>
      </c>
      <c r="D435" s="153"/>
      <c r="E435" s="153"/>
      <c r="F435" s="154">
        <f t="shared" si="858"/>
        <v>-231</v>
      </c>
      <c r="G435" s="155"/>
      <c r="H435" s="155"/>
      <c r="I435" s="155">
        <v>-231</v>
      </c>
      <c r="J435" s="155"/>
      <c r="K435" s="155"/>
      <c r="L435" s="155"/>
      <c r="M435" s="155"/>
      <c r="N435" s="156">
        <v>231</v>
      </c>
      <c r="O435" s="155"/>
      <c r="P435" s="63"/>
    </row>
    <row r="436" spans="1:16" ht="30" customHeight="1" x14ac:dyDescent="0.35">
      <c r="A436" s="150" t="s">
        <v>136</v>
      </c>
      <c r="B436" s="151">
        <f t="shared" si="856"/>
        <v>22522</v>
      </c>
      <c r="C436" s="152">
        <f t="shared" si="857"/>
        <v>13036</v>
      </c>
      <c r="D436" s="153">
        <f>10548+D437</f>
        <v>10548</v>
      </c>
      <c r="E436" s="153">
        <f>2488+E437</f>
        <v>2488</v>
      </c>
      <c r="F436" s="154">
        <f t="shared" si="858"/>
        <v>9486</v>
      </c>
      <c r="G436" s="155">
        <f>120+G437</f>
        <v>120</v>
      </c>
      <c r="H436" s="155">
        <f>2766+H437</f>
        <v>2766</v>
      </c>
      <c r="I436" s="155">
        <f>6600+I437</f>
        <v>6600</v>
      </c>
      <c r="J436" s="155">
        <f t="shared" ref="J436" si="904">+J437</f>
        <v>0</v>
      </c>
      <c r="K436" s="155">
        <f>+K437</f>
        <v>0</v>
      </c>
      <c r="L436" s="155">
        <f t="shared" ref="L436" si="905">+L437</f>
        <v>0</v>
      </c>
      <c r="M436" s="155">
        <f t="shared" ref="M436" si="906">+M437</f>
        <v>0</v>
      </c>
      <c r="N436" s="156">
        <f>+N437</f>
        <v>0</v>
      </c>
      <c r="O436" s="153">
        <f>+O437</f>
        <v>0</v>
      </c>
      <c r="P436" s="63">
        <f>+P437</f>
        <v>0</v>
      </c>
    </row>
    <row r="437" spans="1:16" ht="15" customHeight="1" x14ac:dyDescent="0.35">
      <c r="A437" s="157" t="s">
        <v>724</v>
      </c>
      <c r="B437" s="151">
        <f t="shared" si="856"/>
        <v>0</v>
      </c>
      <c r="C437" s="152">
        <f t="shared" si="857"/>
        <v>0</v>
      </c>
      <c r="D437" s="153"/>
      <c r="E437" s="153"/>
      <c r="F437" s="154">
        <f t="shared" si="858"/>
        <v>0</v>
      </c>
      <c r="G437" s="155"/>
      <c r="H437" s="155"/>
      <c r="I437" s="155"/>
      <c r="J437" s="155"/>
      <c r="K437" s="155"/>
      <c r="L437" s="155"/>
      <c r="M437" s="155"/>
      <c r="N437" s="156"/>
      <c r="O437" s="155"/>
      <c r="P437" s="63"/>
    </row>
    <row r="438" spans="1:16" ht="30" customHeight="1" x14ac:dyDescent="0.35">
      <c r="A438" s="150" t="s">
        <v>118</v>
      </c>
      <c r="B438" s="151">
        <f t="shared" si="856"/>
        <v>21779</v>
      </c>
      <c r="C438" s="152">
        <f t="shared" si="857"/>
        <v>12710</v>
      </c>
      <c r="D438" s="153">
        <f>10284+D439</f>
        <v>10284</v>
      </c>
      <c r="E438" s="153">
        <f>2426+E439</f>
        <v>2426</v>
      </c>
      <c r="F438" s="154">
        <f t="shared" si="858"/>
        <v>9069</v>
      </c>
      <c r="G438" s="155">
        <f>80+G439</f>
        <v>80</v>
      </c>
      <c r="H438" s="155">
        <f>5073+H439</f>
        <v>5331</v>
      </c>
      <c r="I438" s="155">
        <f>3766+I439</f>
        <v>3508</v>
      </c>
      <c r="J438" s="155">
        <f t="shared" ref="J438" si="907">+J439</f>
        <v>0</v>
      </c>
      <c r="K438" s="155">
        <f>150+K439</f>
        <v>150</v>
      </c>
      <c r="L438" s="155">
        <f t="shared" ref="L438" si="908">+L439</f>
        <v>0</v>
      </c>
      <c r="M438" s="155">
        <f t="shared" ref="M438" si="909">+M439</f>
        <v>0</v>
      </c>
      <c r="N438" s="156">
        <f>+N439</f>
        <v>0</v>
      </c>
      <c r="O438" s="153">
        <f>+O439</f>
        <v>0</v>
      </c>
      <c r="P438" s="63">
        <f>+P439</f>
        <v>0</v>
      </c>
    </row>
    <row r="439" spans="1:16" ht="15" customHeight="1" x14ac:dyDescent="0.35">
      <c r="A439" s="157" t="s">
        <v>724</v>
      </c>
      <c r="B439" s="151">
        <f t="shared" si="856"/>
        <v>0</v>
      </c>
      <c r="C439" s="152">
        <f t="shared" si="857"/>
        <v>0</v>
      </c>
      <c r="D439" s="153"/>
      <c r="E439" s="153"/>
      <c r="F439" s="154">
        <f t="shared" si="858"/>
        <v>0</v>
      </c>
      <c r="G439" s="155"/>
      <c r="H439" s="155">
        <v>258</v>
      </c>
      <c r="I439" s="155">
        <v>-258</v>
      </c>
      <c r="J439" s="155"/>
      <c r="K439" s="155"/>
      <c r="L439" s="155"/>
      <c r="M439" s="155"/>
      <c r="N439" s="156"/>
      <c r="O439" s="155"/>
      <c r="P439" s="63"/>
    </row>
    <row r="440" spans="1:16" ht="30" customHeight="1" x14ac:dyDescent="0.35">
      <c r="A440" s="150" t="s">
        <v>126</v>
      </c>
      <c r="B440" s="151">
        <f t="shared" si="856"/>
        <v>115426</v>
      </c>
      <c r="C440" s="152">
        <f t="shared" si="857"/>
        <v>54587</v>
      </c>
      <c r="D440" s="159">
        <f>44168+D441</f>
        <v>44168</v>
      </c>
      <c r="E440" s="159">
        <f>10419+E441</f>
        <v>10419</v>
      </c>
      <c r="F440" s="154">
        <f t="shared" si="858"/>
        <v>60839</v>
      </c>
      <c r="G440" s="162">
        <f>240+G441</f>
        <v>240</v>
      </c>
      <c r="H440" s="162">
        <f>21650+H441</f>
        <v>31399</v>
      </c>
      <c r="I440" s="162">
        <f>30200+I441</f>
        <v>29200</v>
      </c>
      <c r="J440" s="155">
        <f t="shared" ref="J440" si="910">+J441</f>
        <v>0</v>
      </c>
      <c r="K440" s="162">
        <f>+K441</f>
        <v>0</v>
      </c>
      <c r="L440" s="155">
        <f t="shared" ref="L440" si="911">+L441</f>
        <v>0</v>
      </c>
      <c r="M440" s="155">
        <f t="shared" ref="M440" si="912">+M441</f>
        <v>0</v>
      </c>
      <c r="N440" s="156">
        <f>+N441</f>
        <v>0</v>
      </c>
      <c r="O440" s="153">
        <f>+O441</f>
        <v>0</v>
      </c>
      <c r="P440" s="63">
        <f>+P441</f>
        <v>0</v>
      </c>
    </row>
    <row r="441" spans="1:16" ht="15" customHeight="1" x14ac:dyDescent="0.35">
      <c r="A441" s="157" t="s">
        <v>724</v>
      </c>
      <c r="B441" s="151">
        <f t="shared" si="856"/>
        <v>8749</v>
      </c>
      <c r="C441" s="152">
        <f t="shared" si="857"/>
        <v>0</v>
      </c>
      <c r="D441" s="159"/>
      <c r="E441" s="159"/>
      <c r="F441" s="154">
        <f t="shared" si="858"/>
        <v>8749</v>
      </c>
      <c r="G441" s="162"/>
      <c r="H441" s="162">
        <f>3000+6749</f>
        <v>9749</v>
      </c>
      <c r="I441" s="162">
        <v>-1000</v>
      </c>
      <c r="J441" s="155"/>
      <c r="K441" s="162"/>
      <c r="L441" s="155"/>
      <c r="M441" s="155"/>
      <c r="N441" s="160"/>
      <c r="O441" s="162"/>
      <c r="P441" s="63"/>
    </row>
    <row r="442" spans="1:16" ht="30" customHeight="1" x14ac:dyDescent="0.35">
      <c r="A442" s="150" t="s">
        <v>93</v>
      </c>
      <c r="B442" s="151">
        <f t="shared" si="856"/>
        <v>74152</v>
      </c>
      <c r="C442" s="152">
        <f t="shared" si="857"/>
        <v>34494</v>
      </c>
      <c r="D442" s="153">
        <f>27910+D443</f>
        <v>27910</v>
      </c>
      <c r="E442" s="153">
        <f>6584+E443</f>
        <v>6584</v>
      </c>
      <c r="F442" s="154">
        <f t="shared" si="858"/>
        <v>39658</v>
      </c>
      <c r="G442" s="155">
        <f>40+G443</f>
        <v>40</v>
      </c>
      <c r="H442" s="155">
        <f>22000+H443</f>
        <v>22000</v>
      </c>
      <c r="I442" s="155">
        <f>17168+I443</f>
        <v>17168</v>
      </c>
      <c r="J442" s="155">
        <f t="shared" ref="J442" si="913">+J443</f>
        <v>0</v>
      </c>
      <c r="K442" s="155">
        <f>450+K443</f>
        <v>450</v>
      </c>
      <c r="L442" s="155">
        <f t="shared" ref="L442" si="914">+L443</f>
        <v>0</v>
      </c>
      <c r="M442" s="155">
        <f t="shared" ref="M442" si="915">+M443</f>
        <v>0</v>
      </c>
      <c r="N442" s="156">
        <f>+N443</f>
        <v>0</v>
      </c>
      <c r="O442" s="153">
        <f>+O443</f>
        <v>0</v>
      </c>
      <c r="P442" s="63">
        <f>+P443</f>
        <v>0</v>
      </c>
    </row>
    <row r="443" spans="1:16" ht="15" customHeight="1" x14ac:dyDescent="0.35">
      <c r="A443" s="157" t="s">
        <v>724</v>
      </c>
      <c r="B443" s="151">
        <f t="shared" si="856"/>
        <v>0</v>
      </c>
      <c r="C443" s="152">
        <f t="shared" si="857"/>
        <v>0</v>
      </c>
      <c r="D443" s="153"/>
      <c r="E443" s="153"/>
      <c r="F443" s="154">
        <f t="shared" si="858"/>
        <v>0</v>
      </c>
      <c r="G443" s="155"/>
      <c r="H443" s="155"/>
      <c r="I443" s="155"/>
      <c r="J443" s="155"/>
      <c r="K443" s="155"/>
      <c r="L443" s="155"/>
      <c r="M443" s="155"/>
      <c r="N443" s="156"/>
      <c r="O443" s="155"/>
      <c r="P443" s="63"/>
    </row>
    <row r="444" spans="1:16" ht="20.25" customHeight="1" x14ac:dyDescent="0.35">
      <c r="A444" s="150" t="s">
        <v>137</v>
      </c>
      <c r="B444" s="151">
        <f t="shared" si="856"/>
        <v>28319</v>
      </c>
      <c r="C444" s="152">
        <f t="shared" si="857"/>
        <v>15313</v>
      </c>
      <c r="D444" s="153">
        <f>12390+D445</f>
        <v>12390</v>
      </c>
      <c r="E444" s="153">
        <f>2923+E445</f>
        <v>2923</v>
      </c>
      <c r="F444" s="154">
        <f t="shared" si="858"/>
        <v>12967</v>
      </c>
      <c r="G444" s="155">
        <f>+G445</f>
        <v>0</v>
      </c>
      <c r="H444" s="155">
        <f>7345+H445</f>
        <v>7213</v>
      </c>
      <c r="I444" s="155">
        <f>5160+I445</f>
        <v>5160</v>
      </c>
      <c r="J444" s="155">
        <f t="shared" ref="J444" si="916">+J445</f>
        <v>0</v>
      </c>
      <c r="K444" s="155">
        <f>462+K445</f>
        <v>594</v>
      </c>
      <c r="L444" s="155">
        <f t="shared" ref="L444" si="917">+L445</f>
        <v>0</v>
      </c>
      <c r="M444" s="155">
        <f t="shared" ref="M444" si="918">+M445</f>
        <v>0</v>
      </c>
      <c r="N444" s="156">
        <f>39+N445</f>
        <v>39</v>
      </c>
      <c r="O444" s="153">
        <f>+O445</f>
        <v>0</v>
      </c>
      <c r="P444" s="63">
        <f>+P445</f>
        <v>0</v>
      </c>
    </row>
    <row r="445" spans="1:16" ht="15" customHeight="1" x14ac:dyDescent="0.35">
      <c r="A445" s="157" t="s">
        <v>724</v>
      </c>
      <c r="B445" s="151">
        <f t="shared" si="856"/>
        <v>0</v>
      </c>
      <c r="C445" s="152">
        <f t="shared" si="857"/>
        <v>0</v>
      </c>
      <c r="D445" s="153"/>
      <c r="E445" s="153"/>
      <c r="F445" s="154">
        <f t="shared" si="858"/>
        <v>0</v>
      </c>
      <c r="G445" s="155"/>
      <c r="H445" s="155">
        <v>-132</v>
      </c>
      <c r="I445" s="155"/>
      <c r="J445" s="155"/>
      <c r="K445" s="155">
        <v>132</v>
      </c>
      <c r="L445" s="155"/>
      <c r="M445" s="155"/>
      <c r="N445" s="156"/>
      <c r="O445" s="155"/>
      <c r="P445" s="63"/>
    </row>
    <row r="446" spans="1:16" ht="30" customHeight="1" x14ac:dyDescent="0.35">
      <c r="A446" s="150" t="s">
        <v>132</v>
      </c>
      <c r="B446" s="151">
        <f t="shared" si="856"/>
        <v>23340</v>
      </c>
      <c r="C446" s="152">
        <f t="shared" si="857"/>
        <v>12710</v>
      </c>
      <c r="D446" s="153">
        <f>10284+D447</f>
        <v>10284</v>
      </c>
      <c r="E446" s="153">
        <f>2426+E447</f>
        <v>2426</v>
      </c>
      <c r="F446" s="154">
        <f t="shared" si="858"/>
        <v>10400</v>
      </c>
      <c r="G446" s="155">
        <f>40+G447</f>
        <v>40</v>
      </c>
      <c r="H446" s="155">
        <f>5000+H447</f>
        <v>5000</v>
      </c>
      <c r="I446" s="155">
        <f>4956+I447</f>
        <v>4956</v>
      </c>
      <c r="J446" s="155">
        <f t="shared" ref="J446" si="919">+J447</f>
        <v>0</v>
      </c>
      <c r="K446" s="155">
        <f>404+K447</f>
        <v>404</v>
      </c>
      <c r="L446" s="155">
        <f t="shared" ref="L446" si="920">+L447</f>
        <v>0</v>
      </c>
      <c r="M446" s="155">
        <f t="shared" ref="M446" si="921">+M447</f>
        <v>0</v>
      </c>
      <c r="N446" s="156">
        <f>230+N447</f>
        <v>230</v>
      </c>
      <c r="O446" s="153">
        <f>+O447</f>
        <v>0</v>
      </c>
      <c r="P446" s="63">
        <f>+P447</f>
        <v>0</v>
      </c>
    </row>
    <row r="447" spans="1:16" ht="15" customHeight="1" x14ac:dyDescent="0.35">
      <c r="A447" s="157" t="s">
        <v>724</v>
      </c>
      <c r="B447" s="151">
        <f t="shared" si="856"/>
        <v>0</v>
      </c>
      <c r="C447" s="152">
        <f t="shared" si="857"/>
        <v>0</v>
      </c>
      <c r="D447" s="153"/>
      <c r="E447" s="153"/>
      <c r="F447" s="154">
        <f t="shared" si="858"/>
        <v>0</v>
      </c>
      <c r="G447" s="155"/>
      <c r="H447" s="155"/>
      <c r="I447" s="155"/>
      <c r="J447" s="155"/>
      <c r="K447" s="155"/>
      <c r="L447" s="155"/>
      <c r="M447" s="155"/>
      <c r="N447" s="156"/>
      <c r="O447" s="155"/>
      <c r="P447" s="63"/>
    </row>
    <row r="448" spans="1:16" ht="19.5" customHeight="1" x14ac:dyDescent="0.35">
      <c r="A448" s="150" t="s">
        <v>134</v>
      </c>
      <c r="B448" s="151">
        <f t="shared" si="856"/>
        <v>50818</v>
      </c>
      <c r="C448" s="152">
        <f t="shared" si="857"/>
        <v>26502</v>
      </c>
      <c r="D448" s="153">
        <f>21432+D449</f>
        <v>21432</v>
      </c>
      <c r="E448" s="153">
        <f>5070+E449</f>
        <v>5070</v>
      </c>
      <c r="F448" s="154">
        <f t="shared" si="858"/>
        <v>24316</v>
      </c>
      <c r="G448" s="155">
        <f>80+G449</f>
        <v>80</v>
      </c>
      <c r="H448" s="155">
        <f>14036+H449</f>
        <v>14036</v>
      </c>
      <c r="I448" s="155">
        <f>9700+I449</f>
        <v>9700</v>
      </c>
      <c r="J448" s="155">
        <f t="shared" ref="J448" si="922">+J449</f>
        <v>0</v>
      </c>
      <c r="K448" s="155">
        <f>500+K449</f>
        <v>500</v>
      </c>
      <c r="L448" s="155">
        <f t="shared" ref="L448" si="923">+L449</f>
        <v>0</v>
      </c>
      <c r="M448" s="155">
        <f t="shared" ref="M448" si="924">+M449</f>
        <v>0</v>
      </c>
      <c r="N448" s="156">
        <f>+N449</f>
        <v>0</v>
      </c>
      <c r="O448" s="153">
        <f>+O449</f>
        <v>0</v>
      </c>
      <c r="P448" s="63">
        <f>+P449</f>
        <v>0</v>
      </c>
    </row>
    <row r="449" spans="1:16" ht="15" customHeight="1" x14ac:dyDescent="0.35">
      <c r="A449" s="157" t="s">
        <v>724</v>
      </c>
      <c r="B449" s="151">
        <f t="shared" si="856"/>
        <v>0</v>
      </c>
      <c r="C449" s="152">
        <f t="shared" si="857"/>
        <v>0</v>
      </c>
      <c r="D449" s="153"/>
      <c r="E449" s="153"/>
      <c r="F449" s="154">
        <f t="shared" si="858"/>
        <v>0</v>
      </c>
      <c r="G449" s="155"/>
      <c r="H449" s="155"/>
      <c r="I449" s="155"/>
      <c r="J449" s="155"/>
      <c r="K449" s="155"/>
      <c r="L449" s="155"/>
      <c r="M449" s="155"/>
      <c r="N449" s="156"/>
      <c r="O449" s="155"/>
      <c r="P449" s="63"/>
    </row>
    <row r="450" spans="1:16" ht="30" customHeight="1" x14ac:dyDescent="0.35">
      <c r="A450" s="158" t="s">
        <v>125</v>
      </c>
      <c r="B450" s="151">
        <f t="shared" si="856"/>
        <v>27789</v>
      </c>
      <c r="C450" s="152">
        <f t="shared" si="857"/>
        <v>13160</v>
      </c>
      <c r="D450" s="153">
        <f>10648+D451</f>
        <v>10648</v>
      </c>
      <c r="E450" s="153">
        <f>2512+E451</f>
        <v>2512</v>
      </c>
      <c r="F450" s="154">
        <f t="shared" si="858"/>
        <v>14629</v>
      </c>
      <c r="G450" s="155">
        <f>40+G451</f>
        <v>40</v>
      </c>
      <c r="H450" s="155">
        <f>3875+H451</f>
        <v>3875</v>
      </c>
      <c r="I450" s="155">
        <f>10564+I451</f>
        <v>10564</v>
      </c>
      <c r="J450" s="155">
        <f t="shared" ref="J450" si="925">+J451</f>
        <v>0</v>
      </c>
      <c r="K450" s="155">
        <f>150+K451</f>
        <v>150</v>
      </c>
      <c r="L450" s="155">
        <f t="shared" ref="L450" si="926">+L451</f>
        <v>0</v>
      </c>
      <c r="M450" s="155">
        <f t="shared" ref="M450" si="927">+M451</f>
        <v>0</v>
      </c>
      <c r="N450" s="156">
        <f>+N451</f>
        <v>0</v>
      </c>
      <c r="O450" s="153">
        <f>+O451</f>
        <v>0</v>
      </c>
      <c r="P450" s="63">
        <f>+P451</f>
        <v>0</v>
      </c>
    </row>
    <row r="451" spans="1:16" ht="15" customHeight="1" x14ac:dyDescent="0.35">
      <c r="A451" s="157" t="s">
        <v>724</v>
      </c>
      <c r="B451" s="151">
        <f t="shared" si="856"/>
        <v>0</v>
      </c>
      <c r="C451" s="152">
        <f t="shared" si="857"/>
        <v>0</v>
      </c>
      <c r="D451" s="153"/>
      <c r="E451" s="153"/>
      <c r="F451" s="154">
        <f t="shared" si="858"/>
        <v>0</v>
      </c>
      <c r="G451" s="155"/>
      <c r="H451" s="155"/>
      <c r="I451" s="155"/>
      <c r="J451" s="155"/>
      <c r="K451" s="155"/>
      <c r="L451" s="155"/>
      <c r="M451" s="155"/>
      <c r="N451" s="156"/>
      <c r="O451" s="155"/>
      <c r="P451" s="63"/>
    </row>
    <row r="452" spans="1:16" ht="30" customHeight="1" x14ac:dyDescent="0.35">
      <c r="A452" s="158" t="s">
        <v>34</v>
      </c>
      <c r="B452" s="151">
        <f t="shared" si="856"/>
        <v>15700</v>
      </c>
      <c r="C452" s="152">
        <f t="shared" si="857"/>
        <v>0</v>
      </c>
      <c r="D452" s="153">
        <f>+D453</f>
        <v>0</v>
      </c>
      <c r="E452" s="153">
        <f>+E453</f>
        <v>0</v>
      </c>
      <c r="F452" s="154">
        <f t="shared" si="858"/>
        <v>13500</v>
      </c>
      <c r="G452" s="155">
        <f>+G453</f>
        <v>0</v>
      </c>
      <c r="H452" s="155">
        <f>13500+H453</f>
        <v>13500</v>
      </c>
      <c r="I452" s="155">
        <f>+I453</f>
        <v>0</v>
      </c>
      <c r="J452" s="155">
        <f t="shared" ref="J452" si="928">+J453</f>
        <v>0</v>
      </c>
      <c r="K452" s="155">
        <f>+K453</f>
        <v>0</v>
      </c>
      <c r="L452" s="155">
        <f t="shared" ref="L452" si="929">+L453</f>
        <v>0</v>
      </c>
      <c r="M452" s="155">
        <f t="shared" ref="M452" si="930">+M453</f>
        <v>0</v>
      </c>
      <c r="N452" s="156">
        <f>+N453</f>
        <v>0</v>
      </c>
      <c r="O452" s="155">
        <f>2200+O453</f>
        <v>2200</v>
      </c>
      <c r="P452" s="63">
        <f>+P453</f>
        <v>0</v>
      </c>
    </row>
    <row r="453" spans="1:16" ht="15" customHeight="1" x14ac:dyDescent="0.35">
      <c r="A453" s="157" t="s">
        <v>724</v>
      </c>
      <c r="B453" s="151">
        <f t="shared" si="856"/>
        <v>0</v>
      </c>
      <c r="C453" s="152">
        <f t="shared" si="857"/>
        <v>0</v>
      </c>
      <c r="D453" s="153"/>
      <c r="E453" s="153"/>
      <c r="F453" s="154">
        <f t="shared" si="858"/>
        <v>0</v>
      </c>
      <c r="G453" s="155"/>
      <c r="H453" s="155"/>
      <c r="I453" s="155"/>
      <c r="J453" s="155"/>
      <c r="K453" s="155"/>
      <c r="L453" s="155"/>
      <c r="M453" s="155"/>
      <c r="N453" s="156"/>
      <c r="O453" s="155"/>
      <c r="P453" s="63"/>
    </row>
    <row r="454" spans="1:16" ht="37.5" customHeight="1" x14ac:dyDescent="0.35">
      <c r="A454" s="158" t="s">
        <v>58</v>
      </c>
      <c r="B454" s="151">
        <f t="shared" si="856"/>
        <v>150000</v>
      </c>
      <c r="C454" s="152">
        <f t="shared" si="857"/>
        <v>0</v>
      </c>
      <c r="D454" s="153">
        <f t="shared" ref="D454" si="931">+D455</f>
        <v>0</v>
      </c>
      <c r="E454" s="153">
        <f t="shared" ref="E454" si="932">+E455</f>
        <v>0</v>
      </c>
      <c r="F454" s="154">
        <f t="shared" si="858"/>
        <v>0</v>
      </c>
      <c r="G454" s="155">
        <f t="shared" ref="G454" si="933">+G455</f>
        <v>0</v>
      </c>
      <c r="H454" s="155">
        <f>+H455</f>
        <v>0</v>
      </c>
      <c r="I454" s="155">
        <f>+I455</f>
        <v>0</v>
      </c>
      <c r="J454" s="155">
        <f t="shared" ref="J454" si="934">+J455</f>
        <v>0</v>
      </c>
      <c r="K454" s="155">
        <f t="shared" ref="K454" si="935">+K455</f>
        <v>0</v>
      </c>
      <c r="L454" s="155">
        <f t="shared" ref="L454" si="936">+L455</f>
        <v>0</v>
      </c>
      <c r="M454" s="155">
        <f t="shared" ref="M454" si="937">+M455</f>
        <v>0</v>
      </c>
      <c r="N454" s="156">
        <f>+N455</f>
        <v>0</v>
      </c>
      <c r="O454" s="155">
        <f>+O455</f>
        <v>0</v>
      </c>
      <c r="P454" s="63">
        <f>150000+P455</f>
        <v>150000</v>
      </c>
    </row>
    <row r="455" spans="1:16" ht="15" customHeight="1" x14ac:dyDescent="0.35">
      <c r="A455" s="157" t="s">
        <v>724</v>
      </c>
      <c r="B455" s="151">
        <f t="shared" si="856"/>
        <v>0</v>
      </c>
      <c r="C455" s="152">
        <f t="shared" si="857"/>
        <v>0</v>
      </c>
      <c r="D455" s="153"/>
      <c r="E455" s="153"/>
      <c r="F455" s="154">
        <f t="shared" si="858"/>
        <v>0</v>
      </c>
      <c r="G455" s="155"/>
      <c r="H455" s="155"/>
      <c r="I455" s="155"/>
      <c r="J455" s="155"/>
      <c r="K455" s="155"/>
      <c r="L455" s="155"/>
      <c r="M455" s="155"/>
      <c r="N455" s="156"/>
      <c r="O455" s="155"/>
      <c r="P455" s="63"/>
    </row>
    <row r="456" spans="1:16" ht="35.25" customHeight="1" x14ac:dyDescent="0.35">
      <c r="A456" s="158" t="s">
        <v>700</v>
      </c>
      <c r="B456" s="151">
        <f t="shared" si="856"/>
        <v>6629</v>
      </c>
      <c r="C456" s="152">
        <f t="shared" si="857"/>
        <v>0</v>
      </c>
      <c r="D456" s="153">
        <f t="shared" ref="D456" si="938">+D457</f>
        <v>0</v>
      </c>
      <c r="E456" s="153">
        <f t="shared" ref="E456" si="939">+E457</f>
        <v>0</v>
      </c>
      <c r="F456" s="154">
        <f t="shared" si="858"/>
        <v>6629</v>
      </c>
      <c r="G456" s="155">
        <f t="shared" ref="G456" si="940">+G457</f>
        <v>0</v>
      </c>
      <c r="H456" s="155">
        <f>+H457</f>
        <v>0</v>
      </c>
      <c r="I456" s="155">
        <f>6629+I457</f>
        <v>6629</v>
      </c>
      <c r="J456" s="155">
        <f t="shared" ref="J456" si="941">+J457</f>
        <v>0</v>
      </c>
      <c r="K456" s="155">
        <f t="shared" ref="K456" si="942">+K457</f>
        <v>0</v>
      </c>
      <c r="L456" s="155">
        <f t="shared" ref="L456" si="943">+L457</f>
        <v>0</v>
      </c>
      <c r="M456" s="155">
        <f t="shared" ref="M456" si="944">+M457</f>
        <v>0</v>
      </c>
      <c r="N456" s="156">
        <f>+N457</f>
        <v>0</v>
      </c>
      <c r="O456" s="153">
        <f>+O457</f>
        <v>0</v>
      </c>
      <c r="P456" s="63">
        <f>+P457</f>
        <v>0</v>
      </c>
    </row>
    <row r="457" spans="1:16" ht="15" customHeight="1" x14ac:dyDescent="0.35">
      <c r="A457" s="157" t="s">
        <v>724</v>
      </c>
      <c r="B457" s="151">
        <f t="shared" si="856"/>
        <v>0</v>
      </c>
      <c r="C457" s="152">
        <f t="shared" si="857"/>
        <v>0</v>
      </c>
      <c r="D457" s="153"/>
      <c r="E457" s="153"/>
      <c r="F457" s="154">
        <f t="shared" si="858"/>
        <v>0</v>
      </c>
      <c r="G457" s="155"/>
      <c r="H457" s="155"/>
      <c r="I457" s="155"/>
      <c r="J457" s="155"/>
      <c r="K457" s="155"/>
      <c r="L457" s="155"/>
      <c r="M457" s="155"/>
      <c r="N457" s="156"/>
      <c r="O457" s="155"/>
      <c r="P457" s="63"/>
    </row>
    <row r="458" spans="1:16" ht="38.25" customHeight="1" x14ac:dyDescent="0.35">
      <c r="A458" s="158" t="s">
        <v>659</v>
      </c>
      <c r="B458" s="151">
        <f t="shared" si="856"/>
        <v>27260</v>
      </c>
      <c r="C458" s="152">
        <f t="shared" si="857"/>
        <v>8292</v>
      </c>
      <c r="D458" s="153">
        <f>6709+D459</f>
        <v>6709</v>
      </c>
      <c r="E458" s="153">
        <f>1583+E459</f>
        <v>1583</v>
      </c>
      <c r="F458" s="154">
        <f t="shared" si="858"/>
        <v>15291</v>
      </c>
      <c r="G458" s="155">
        <f t="shared" ref="G458" si="945">+G459</f>
        <v>0</v>
      </c>
      <c r="H458" s="155">
        <v>5465</v>
      </c>
      <c r="I458" s="155">
        <f>9826+I459</f>
        <v>9826</v>
      </c>
      <c r="J458" s="155">
        <f t="shared" ref="J458" si="946">+J459</f>
        <v>0</v>
      </c>
      <c r="K458" s="155">
        <f t="shared" ref="K458" si="947">+K459</f>
        <v>0</v>
      </c>
      <c r="L458" s="155">
        <f t="shared" ref="L458" si="948">+L459</f>
        <v>0</v>
      </c>
      <c r="M458" s="155">
        <f t="shared" ref="M458" si="949">+M459</f>
        <v>0</v>
      </c>
      <c r="N458" s="156">
        <f>3677+N459</f>
        <v>3677</v>
      </c>
      <c r="O458" s="153">
        <f>+O459</f>
        <v>0</v>
      </c>
      <c r="P458" s="63">
        <f>+P459</f>
        <v>0</v>
      </c>
    </row>
    <row r="459" spans="1:16" ht="15" customHeight="1" x14ac:dyDescent="0.35">
      <c r="A459" s="157" t="s">
        <v>724</v>
      </c>
      <c r="B459" s="151">
        <f t="shared" si="856"/>
        <v>0</v>
      </c>
      <c r="C459" s="152">
        <f t="shared" si="857"/>
        <v>0</v>
      </c>
      <c r="D459" s="153"/>
      <c r="E459" s="153"/>
      <c r="F459" s="154">
        <f t="shared" si="858"/>
        <v>0</v>
      </c>
      <c r="G459" s="155"/>
      <c r="H459" s="155"/>
      <c r="I459" s="155"/>
      <c r="J459" s="155"/>
      <c r="K459" s="155"/>
      <c r="L459" s="155"/>
      <c r="M459" s="155"/>
      <c r="N459" s="156"/>
      <c r="O459" s="155"/>
      <c r="P459" s="63"/>
    </row>
    <row r="460" spans="1:16" ht="32.25" customHeight="1" x14ac:dyDescent="0.35">
      <c r="A460" s="158" t="s">
        <v>95</v>
      </c>
      <c r="B460" s="151">
        <f t="shared" si="856"/>
        <v>15304</v>
      </c>
      <c r="C460" s="152">
        <f t="shared" si="857"/>
        <v>0</v>
      </c>
      <c r="D460" s="153">
        <f>+D461</f>
        <v>0</v>
      </c>
      <c r="E460" s="153">
        <f>+E461</f>
        <v>0</v>
      </c>
      <c r="F460" s="154">
        <f t="shared" si="858"/>
        <v>15304</v>
      </c>
      <c r="G460" s="155">
        <f t="shared" ref="G460" si="950">+G461</f>
        <v>0</v>
      </c>
      <c r="H460" s="155">
        <f>0</f>
        <v>0</v>
      </c>
      <c r="I460" s="155">
        <f>15304+I461</f>
        <v>15304</v>
      </c>
      <c r="J460" s="155">
        <f t="shared" ref="J460" si="951">+J461</f>
        <v>0</v>
      </c>
      <c r="K460" s="155">
        <f t="shared" ref="K460" si="952">+K461</f>
        <v>0</v>
      </c>
      <c r="L460" s="155">
        <f t="shared" ref="L460" si="953">+L461</f>
        <v>0</v>
      </c>
      <c r="M460" s="155">
        <f t="shared" ref="M460" si="954">+M461</f>
        <v>0</v>
      </c>
      <c r="N460" s="156">
        <f>+N461</f>
        <v>0</v>
      </c>
      <c r="O460" s="153">
        <f>+O461</f>
        <v>0</v>
      </c>
      <c r="P460" s="63">
        <f>+P461</f>
        <v>0</v>
      </c>
    </row>
    <row r="461" spans="1:16" ht="15" customHeight="1" x14ac:dyDescent="0.35">
      <c r="A461" s="157" t="s">
        <v>724</v>
      </c>
      <c r="B461" s="151">
        <f t="shared" si="856"/>
        <v>0</v>
      </c>
      <c r="C461" s="152">
        <f t="shared" si="857"/>
        <v>0</v>
      </c>
      <c r="D461" s="153"/>
      <c r="E461" s="153"/>
      <c r="F461" s="154">
        <f t="shared" si="858"/>
        <v>0</v>
      </c>
      <c r="G461" s="155"/>
      <c r="H461" s="155"/>
      <c r="I461" s="155"/>
      <c r="J461" s="155"/>
      <c r="K461" s="155"/>
      <c r="L461" s="155"/>
      <c r="M461" s="155"/>
      <c r="N461" s="156"/>
      <c r="O461" s="155"/>
      <c r="P461" s="63"/>
    </row>
    <row r="462" spans="1:16" ht="63.75" customHeight="1" x14ac:dyDescent="0.35">
      <c r="A462" s="158" t="s">
        <v>699</v>
      </c>
      <c r="B462" s="151">
        <f t="shared" si="856"/>
        <v>7450</v>
      </c>
      <c r="C462" s="152">
        <f t="shared" si="857"/>
        <v>0</v>
      </c>
      <c r="D462" s="153">
        <f t="shared" ref="D462" si="955">+D463</f>
        <v>0</v>
      </c>
      <c r="E462" s="153">
        <f t="shared" ref="E462" si="956">+E463</f>
        <v>0</v>
      </c>
      <c r="F462" s="154">
        <f t="shared" si="858"/>
        <v>7450</v>
      </c>
      <c r="G462" s="155">
        <f>7450+G463</f>
        <v>7450</v>
      </c>
      <c r="H462" s="155">
        <f>+H463</f>
        <v>0</v>
      </c>
      <c r="I462" s="155">
        <f>+I463</f>
        <v>0</v>
      </c>
      <c r="J462" s="155">
        <f t="shared" ref="J462" si="957">+J463</f>
        <v>0</v>
      </c>
      <c r="K462" s="155">
        <f t="shared" ref="K462" si="958">+K463</f>
        <v>0</v>
      </c>
      <c r="L462" s="155">
        <f t="shared" ref="L462" si="959">+L463</f>
        <v>0</v>
      </c>
      <c r="M462" s="155">
        <f t="shared" ref="M462" si="960">+M463</f>
        <v>0</v>
      </c>
      <c r="N462" s="156">
        <f>+N463</f>
        <v>0</v>
      </c>
      <c r="O462" s="153">
        <f>+O463</f>
        <v>0</v>
      </c>
      <c r="P462" s="63">
        <f>+P463</f>
        <v>0</v>
      </c>
    </row>
    <row r="463" spans="1:16" ht="15" customHeight="1" x14ac:dyDescent="0.35">
      <c r="A463" s="157" t="s">
        <v>724</v>
      </c>
      <c r="B463" s="151">
        <f t="shared" si="856"/>
        <v>0</v>
      </c>
      <c r="C463" s="152">
        <f t="shared" si="857"/>
        <v>0</v>
      </c>
      <c r="D463" s="153"/>
      <c r="E463" s="153"/>
      <c r="F463" s="154">
        <f t="shared" si="858"/>
        <v>0</v>
      </c>
      <c r="G463" s="155"/>
      <c r="H463" s="155"/>
      <c r="I463" s="155"/>
      <c r="J463" s="155"/>
      <c r="K463" s="155"/>
      <c r="L463" s="155"/>
      <c r="M463" s="155"/>
      <c r="N463" s="156"/>
      <c r="O463" s="155"/>
      <c r="P463" s="63"/>
    </row>
    <row r="464" spans="1:16" ht="65.25" customHeight="1" x14ac:dyDescent="0.35">
      <c r="A464" s="158" t="s">
        <v>704</v>
      </c>
      <c r="B464" s="151">
        <f t="shared" si="856"/>
        <v>63246</v>
      </c>
      <c r="C464" s="152">
        <f t="shared" si="857"/>
        <v>0</v>
      </c>
      <c r="D464" s="153">
        <f t="shared" ref="D464" si="961">+D465</f>
        <v>0</v>
      </c>
      <c r="E464" s="153">
        <f t="shared" ref="E464" si="962">+E465</f>
        <v>0</v>
      </c>
      <c r="F464" s="154">
        <f t="shared" si="858"/>
        <v>63246</v>
      </c>
      <c r="G464" s="155">
        <f>63246+G465</f>
        <v>63246</v>
      </c>
      <c r="H464" s="155">
        <f>+H465</f>
        <v>0</v>
      </c>
      <c r="I464" s="155">
        <f t="shared" ref="I464" si="963">+I465</f>
        <v>0</v>
      </c>
      <c r="J464" s="155">
        <f t="shared" ref="J464" si="964">+J465</f>
        <v>0</v>
      </c>
      <c r="K464" s="155">
        <f t="shared" ref="K464" si="965">+K465</f>
        <v>0</v>
      </c>
      <c r="L464" s="155">
        <f t="shared" ref="L464" si="966">+L465</f>
        <v>0</v>
      </c>
      <c r="M464" s="155">
        <f t="shared" ref="M464" si="967">+M465</f>
        <v>0</v>
      </c>
      <c r="N464" s="156">
        <f>+N465</f>
        <v>0</v>
      </c>
      <c r="O464" s="153">
        <f>+O465</f>
        <v>0</v>
      </c>
      <c r="P464" s="63">
        <f>+P465</f>
        <v>0</v>
      </c>
    </row>
    <row r="465" spans="1:16" ht="15" customHeight="1" x14ac:dyDescent="0.35">
      <c r="A465" s="157" t="s">
        <v>724</v>
      </c>
      <c r="B465" s="151">
        <f t="shared" si="856"/>
        <v>0</v>
      </c>
      <c r="C465" s="152">
        <f t="shared" si="857"/>
        <v>0</v>
      </c>
      <c r="D465" s="153"/>
      <c r="E465" s="153"/>
      <c r="F465" s="154">
        <f t="shared" si="858"/>
        <v>0</v>
      </c>
      <c r="G465" s="155"/>
      <c r="H465" s="155"/>
      <c r="I465" s="155"/>
      <c r="J465" s="155"/>
      <c r="K465" s="155"/>
      <c r="L465" s="155"/>
      <c r="M465" s="155"/>
      <c r="N465" s="156"/>
      <c r="O465" s="155"/>
      <c r="P465" s="63"/>
    </row>
    <row r="466" spans="1:16" ht="53.25" customHeight="1" x14ac:dyDescent="0.35">
      <c r="A466" s="158" t="s">
        <v>705</v>
      </c>
      <c r="B466" s="151">
        <f t="shared" si="856"/>
        <v>10275</v>
      </c>
      <c r="C466" s="152">
        <f t="shared" si="857"/>
        <v>0</v>
      </c>
      <c r="D466" s="153">
        <f t="shared" ref="D466" si="968">+D467</f>
        <v>0</v>
      </c>
      <c r="E466" s="153">
        <f t="shared" ref="E466" si="969">+E467</f>
        <v>0</v>
      </c>
      <c r="F466" s="154">
        <f t="shared" si="858"/>
        <v>10275</v>
      </c>
      <c r="G466" s="155">
        <f>10275+G467</f>
        <v>10275</v>
      </c>
      <c r="H466" s="155">
        <f>+H467</f>
        <v>0</v>
      </c>
      <c r="I466" s="155">
        <f t="shared" ref="I466" si="970">+I467</f>
        <v>0</v>
      </c>
      <c r="J466" s="155">
        <f t="shared" ref="J466" si="971">+J467</f>
        <v>0</v>
      </c>
      <c r="K466" s="155">
        <f t="shared" ref="K466" si="972">+K467</f>
        <v>0</v>
      </c>
      <c r="L466" s="155">
        <f t="shared" ref="L466" si="973">+L467</f>
        <v>0</v>
      </c>
      <c r="M466" s="155">
        <f t="shared" ref="M466" si="974">+M467</f>
        <v>0</v>
      </c>
      <c r="N466" s="156">
        <f>+N467</f>
        <v>0</v>
      </c>
      <c r="O466" s="153">
        <f>+O467</f>
        <v>0</v>
      </c>
      <c r="P466" s="63">
        <f>+P467</f>
        <v>0</v>
      </c>
    </row>
    <row r="467" spans="1:16" ht="15" customHeight="1" x14ac:dyDescent="0.35">
      <c r="A467" s="157" t="s">
        <v>724</v>
      </c>
      <c r="B467" s="151">
        <f t="shared" ref="B467:B530" si="975">SUM(C467+F467,L467,M467,N467,O467,P467)</f>
        <v>0</v>
      </c>
      <c r="C467" s="152">
        <f t="shared" ref="C467:C530" si="976">D467+E467</f>
        <v>0</v>
      </c>
      <c r="D467" s="153"/>
      <c r="E467" s="153"/>
      <c r="F467" s="154">
        <f t="shared" ref="F467:F530" si="977">SUM(G467,H467,I467,J467,K467)</f>
        <v>0</v>
      </c>
      <c r="G467" s="155"/>
      <c r="H467" s="155"/>
      <c r="I467" s="155"/>
      <c r="J467" s="155"/>
      <c r="K467" s="155"/>
      <c r="L467" s="155"/>
      <c r="M467" s="155"/>
      <c r="N467" s="156"/>
      <c r="O467" s="155"/>
      <c r="P467" s="63"/>
    </row>
    <row r="468" spans="1:16" ht="42.75" customHeight="1" x14ac:dyDescent="0.35">
      <c r="A468" s="158" t="s">
        <v>709</v>
      </c>
      <c r="B468" s="151">
        <f t="shared" si="975"/>
        <v>5710</v>
      </c>
      <c r="C468" s="152">
        <f t="shared" si="976"/>
        <v>0</v>
      </c>
      <c r="D468" s="153">
        <f t="shared" ref="D468" si="978">+D469</f>
        <v>0</v>
      </c>
      <c r="E468" s="153">
        <f t="shared" ref="E468" si="979">+E469</f>
        <v>0</v>
      </c>
      <c r="F468" s="154">
        <f t="shared" si="977"/>
        <v>5710</v>
      </c>
      <c r="G468" s="155">
        <f>5710+G469</f>
        <v>5710</v>
      </c>
      <c r="H468" s="155">
        <f>+H469</f>
        <v>0</v>
      </c>
      <c r="I468" s="155">
        <f t="shared" ref="I468" si="980">+I469</f>
        <v>0</v>
      </c>
      <c r="J468" s="155">
        <f t="shared" ref="J468" si="981">+J469</f>
        <v>0</v>
      </c>
      <c r="K468" s="155">
        <f t="shared" ref="K468" si="982">+K469</f>
        <v>0</v>
      </c>
      <c r="L468" s="155">
        <f t="shared" ref="L468" si="983">+L469</f>
        <v>0</v>
      </c>
      <c r="M468" s="155">
        <f t="shared" ref="M468" si="984">+M469</f>
        <v>0</v>
      </c>
      <c r="N468" s="156">
        <f>+N469</f>
        <v>0</v>
      </c>
      <c r="O468" s="153">
        <f>+O469</f>
        <v>0</v>
      </c>
      <c r="P468" s="63">
        <f>+P469</f>
        <v>0</v>
      </c>
    </row>
    <row r="469" spans="1:16" ht="15" customHeight="1" x14ac:dyDescent="0.35">
      <c r="A469" s="157" t="s">
        <v>724</v>
      </c>
      <c r="B469" s="151">
        <f t="shared" si="975"/>
        <v>0</v>
      </c>
      <c r="C469" s="152">
        <f t="shared" si="976"/>
        <v>0</v>
      </c>
      <c r="D469" s="153"/>
      <c r="E469" s="153"/>
      <c r="F469" s="154">
        <f t="shared" si="977"/>
        <v>0</v>
      </c>
      <c r="G469" s="155"/>
      <c r="H469" s="155"/>
      <c r="I469" s="155"/>
      <c r="J469" s="155"/>
      <c r="K469" s="155"/>
      <c r="L469" s="155"/>
      <c r="M469" s="155"/>
      <c r="N469" s="156"/>
      <c r="O469" s="155"/>
      <c r="P469" s="63"/>
    </row>
    <row r="470" spans="1:16" ht="33.75" customHeight="1" x14ac:dyDescent="0.35">
      <c r="A470" s="158" t="s">
        <v>617</v>
      </c>
      <c r="B470" s="151">
        <f t="shared" si="975"/>
        <v>77824</v>
      </c>
      <c r="C470" s="152">
        <f t="shared" si="976"/>
        <v>0</v>
      </c>
      <c r="D470" s="153">
        <f t="shared" ref="D470" si="985">+D471</f>
        <v>0</v>
      </c>
      <c r="E470" s="153">
        <f t="shared" ref="E470" si="986">+E471</f>
        <v>0</v>
      </c>
      <c r="F470" s="154">
        <f t="shared" si="977"/>
        <v>77824</v>
      </c>
      <c r="G470" s="155">
        <f>+G471</f>
        <v>0</v>
      </c>
      <c r="H470" s="155">
        <f>77824+H471</f>
        <v>77824</v>
      </c>
      <c r="I470" s="155">
        <f t="shared" ref="I470" si="987">+I471</f>
        <v>0</v>
      </c>
      <c r="J470" s="155">
        <f t="shared" ref="J470" si="988">+J471</f>
        <v>0</v>
      </c>
      <c r="K470" s="155">
        <f t="shared" ref="K470" si="989">+K471</f>
        <v>0</v>
      </c>
      <c r="L470" s="155">
        <f t="shared" ref="L470" si="990">+L471</f>
        <v>0</v>
      </c>
      <c r="M470" s="155">
        <f t="shared" ref="M470" si="991">+M471</f>
        <v>0</v>
      </c>
      <c r="N470" s="156">
        <f>+N471</f>
        <v>0</v>
      </c>
      <c r="O470" s="153">
        <f>+O471</f>
        <v>0</v>
      </c>
      <c r="P470" s="63">
        <f>+P471</f>
        <v>0</v>
      </c>
    </row>
    <row r="471" spans="1:16" ht="15" customHeight="1" x14ac:dyDescent="0.35">
      <c r="A471" s="157" t="s">
        <v>724</v>
      </c>
      <c r="B471" s="151">
        <f t="shared" si="975"/>
        <v>0</v>
      </c>
      <c r="C471" s="152">
        <f t="shared" si="976"/>
        <v>0</v>
      </c>
      <c r="D471" s="153"/>
      <c r="E471" s="153"/>
      <c r="F471" s="154">
        <f t="shared" si="977"/>
        <v>0</v>
      </c>
      <c r="G471" s="155"/>
      <c r="H471" s="155"/>
      <c r="I471" s="155"/>
      <c r="J471" s="155"/>
      <c r="K471" s="155"/>
      <c r="L471" s="155"/>
      <c r="M471" s="155"/>
      <c r="N471" s="156"/>
      <c r="O471" s="155"/>
      <c r="P471" s="63"/>
    </row>
    <row r="472" spans="1:16" ht="82.5" customHeight="1" x14ac:dyDescent="0.35">
      <c r="A472" s="158" t="s">
        <v>823</v>
      </c>
      <c r="B472" s="151">
        <f t="shared" si="975"/>
        <v>52600</v>
      </c>
      <c r="C472" s="152">
        <f t="shared" si="976"/>
        <v>0</v>
      </c>
      <c r="D472" s="153">
        <f t="shared" ref="D472" si="992">+D473</f>
        <v>0</v>
      </c>
      <c r="E472" s="153">
        <f t="shared" ref="E472" si="993">+E473</f>
        <v>0</v>
      </c>
      <c r="F472" s="154">
        <f t="shared" si="977"/>
        <v>0</v>
      </c>
      <c r="G472" s="155">
        <f t="shared" ref="G472" si="994">+G473</f>
        <v>0</v>
      </c>
      <c r="H472" s="155">
        <f>+H473</f>
        <v>0</v>
      </c>
      <c r="I472" s="155">
        <f t="shared" ref="I472" si="995">+I473</f>
        <v>0</v>
      </c>
      <c r="J472" s="155">
        <f t="shared" ref="J472" si="996">+J473</f>
        <v>0</v>
      </c>
      <c r="K472" s="155">
        <f t="shared" ref="K472" si="997">+K473</f>
        <v>0</v>
      </c>
      <c r="L472" s="155">
        <f>52600+L473</f>
        <v>52600</v>
      </c>
      <c r="M472" s="155">
        <f>+M473</f>
        <v>0</v>
      </c>
      <c r="N472" s="156">
        <f>+N473</f>
        <v>0</v>
      </c>
      <c r="O472" s="153">
        <f>+O473</f>
        <v>0</v>
      </c>
      <c r="P472" s="63">
        <f>+P473</f>
        <v>0</v>
      </c>
    </row>
    <row r="473" spans="1:16" ht="15" customHeight="1" x14ac:dyDescent="0.35">
      <c r="A473" s="157" t="s">
        <v>724</v>
      </c>
      <c r="B473" s="151">
        <f t="shared" si="975"/>
        <v>0</v>
      </c>
      <c r="C473" s="152">
        <f t="shared" si="976"/>
        <v>0</v>
      </c>
      <c r="D473" s="153"/>
      <c r="E473" s="153"/>
      <c r="F473" s="154">
        <f t="shared" si="977"/>
        <v>0</v>
      </c>
      <c r="G473" s="155"/>
      <c r="H473" s="155"/>
      <c r="I473" s="155"/>
      <c r="J473" s="155"/>
      <c r="K473" s="155"/>
      <c r="L473" s="155"/>
      <c r="M473" s="155"/>
      <c r="N473" s="156"/>
      <c r="O473" s="155"/>
      <c r="P473" s="63"/>
    </row>
    <row r="474" spans="1:16" ht="46.5" customHeight="1" x14ac:dyDescent="0.35">
      <c r="A474" s="158" t="s">
        <v>794</v>
      </c>
      <c r="B474" s="151">
        <f t="shared" si="975"/>
        <v>75783</v>
      </c>
      <c r="C474" s="152">
        <f t="shared" si="976"/>
        <v>0</v>
      </c>
      <c r="D474" s="153">
        <f t="shared" ref="D474" si="998">+D475</f>
        <v>0</v>
      </c>
      <c r="E474" s="153">
        <f t="shared" ref="E474" si="999">+E475</f>
        <v>0</v>
      </c>
      <c r="F474" s="154">
        <f t="shared" si="977"/>
        <v>0</v>
      </c>
      <c r="G474" s="155">
        <f t="shared" ref="G474" si="1000">+G475</f>
        <v>0</v>
      </c>
      <c r="H474" s="155">
        <f>+H475</f>
        <v>0</v>
      </c>
      <c r="I474" s="155">
        <f>+I475</f>
        <v>0</v>
      </c>
      <c r="J474" s="155">
        <f t="shared" ref="J474" si="1001">+J475</f>
        <v>0</v>
      </c>
      <c r="K474" s="155">
        <f t="shared" ref="K474" si="1002">+K475</f>
        <v>0</v>
      </c>
      <c r="L474" s="155">
        <f t="shared" ref="L474" si="1003">+L475</f>
        <v>0</v>
      </c>
      <c r="M474" s="155">
        <f t="shared" ref="M474" si="1004">+M475</f>
        <v>0</v>
      </c>
      <c r="N474" s="156">
        <f>66919+N475</f>
        <v>75783</v>
      </c>
      <c r="O474" s="153">
        <f>+O475</f>
        <v>0</v>
      </c>
      <c r="P474" s="63">
        <f>+P475</f>
        <v>0</v>
      </c>
    </row>
    <row r="475" spans="1:16" ht="15" customHeight="1" x14ac:dyDescent="0.35">
      <c r="A475" s="157" t="s">
        <v>724</v>
      </c>
      <c r="B475" s="151">
        <f t="shared" si="975"/>
        <v>8864</v>
      </c>
      <c r="C475" s="152">
        <f t="shared" si="976"/>
        <v>0</v>
      </c>
      <c r="D475" s="153"/>
      <c r="E475" s="153"/>
      <c r="F475" s="154">
        <f t="shared" si="977"/>
        <v>0</v>
      </c>
      <c r="G475" s="155"/>
      <c r="H475" s="155"/>
      <c r="I475" s="155"/>
      <c r="J475" s="155"/>
      <c r="K475" s="155"/>
      <c r="L475" s="155"/>
      <c r="M475" s="155"/>
      <c r="N475" s="156">
        <v>8864</v>
      </c>
      <c r="O475" s="155"/>
      <c r="P475" s="63"/>
    </row>
    <row r="476" spans="1:16" ht="39" customHeight="1" x14ac:dyDescent="0.35">
      <c r="A476" s="158" t="s">
        <v>701</v>
      </c>
      <c r="B476" s="151">
        <f t="shared" si="975"/>
        <v>86625</v>
      </c>
      <c r="C476" s="152">
        <f t="shared" si="976"/>
        <v>50172</v>
      </c>
      <c r="D476" s="153">
        <f>41172+D477</f>
        <v>41172</v>
      </c>
      <c r="E476" s="153">
        <f>9000+E477</f>
        <v>9000</v>
      </c>
      <c r="F476" s="154">
        <f t="shared" si="977"/>
        <v>17207</v>
      </c>
      <c r="G476" s="155">
        <f t="shared" ref="G476" si="1005">+G477</f>
        <v>0</v>
      </c>
      <c r="H476" s="155">
        <f>14707+H477</f>
        <v>14707</v>
      </c>
      <c r="I476" s="155">
        <f>2500+I477</f>
        <v>2500</v>
      </c>
      <c r="J476" s="155">
        <f t="shared" ref="J476" si="1006">+J477</f>
        <v>0</v>
      </c>
      <c r="K476" s="155">
        <f t="shared" ref="K476" si="1007">+K477</f>
        <v>0</v>
      </c>
      <c r="L476" s="155">
        <f t="shared" ref="L476" si="1008">+L477</f>
        <v>0</v>
      </c>
      <c r="M476" s="155">
        <f t="shared" ref="M476" si="1009">+M477</f>
        <v>0</v>
      </c>
      <c r="N476" s="156">
        <f>19246+N477</f>
        <v>19246</v>
      </c>
      <c r="O476" s="153">
        <f>+O477</f>
        <v>0</v>
      </c>
      <c r="P476" s="63">
        <f>+P477</f>
        <v>0</v>
      </c>
    </row>
    <row r="477" spans="1:16" ht="15" customHeight="1" x14ac:dyDescent="0.35">
      <c r="A477" s="157" t="s">
        <v>724</v>
      </c>
      <c r="B477" s="151">
        <f t="shared" si="975"/>
        <v>0</v>
      </c>
      <c r="C477" s="152">
        <f t="shared" si="976"/>
        <v>0</v>
      </c>
      <c r="D477" s="153"/>
      <c r="E477" s="153"/>
      <c r="F477" s="154">
        <f t="shared" si="977"/>
        <v>0</v>
      </c>
      <c r="G477" s="155"/>
      <c r="H477" s="155"/>
      <c r="I477" s="155"/>
      <c r="J477" s="155"/>
      <c r="K477" s="155"/>
      <c r="L477" s="155"/>
      <c r="M477" s="155"/>
      <c r="N477" s="156"/>
      <c r="O477" s="155"/>
      <c r="P477" s="63"/>
    </row>
    <row r="478" spans="1:16" ht="18.600000000000001" customHeight="1" x14ac:dyDescent="0.35">
      <c r="A478" s="158" t="s">
        <v>36</v>
      </c>
      <c r="B478" s="151">
        <f t="shared" si="975"/>
        <v>251064</v>
      </c>
      <c r="C478" s="152">
        <f t="shared" si="976"/>
        <v>228394</v>
      </c>
      <c r="D478" s="153">
        <f>184800+D479</f>
        <v>184800</v>
      </c>
      <c r="E478" s="153">
        <f>43594+E479</f>
        <v>43594</v>
      </c>
      <c r="F478" s="154">
        <f t="shared" si="977"/>
        <v>22670</v>
      </c>
      <c r="G478" s="155">
        <f>350+G479</f>
        <v>350</v>
      </c>
      <c r="H478" s="155">
        <f>12220+H479</f>
        <v>12220</v>
      </c>
      <c r="I478" s="155">
        <f>10100+I479</f>
        <v>10100</v>
      </c>
      <c r="J478" s="155">
        <f t="shared" ref="J478" si="1010">+J479</f>
        <v>0</v>
      </c>
      <c r="K478" s="155">
        <f t="shared" ref="K478" si="1011">+K479</f>
        <v>0</v>
      </c>
      <c r="L478" s="155">
        <f t="shared" ref="L478" si="1012">+L479</f>
        <v>0</v>
      </c>
      <c r="M478" s="155">
        <f t="shared" ref="M478" si="1013">+M479</f>
        <v>0</v>
      </c>
      <c r="N478" s="156">
        <f>+N479</f>
        <v>0</v>
      </c>
      <c r="O478" s="153">
        <f>+O479</f>
        <v>0</v>
      </c>
      <c r="P478" s="63">
        <f>+P479</f>
        <v>0</v>
      </c>
    </row>
    <row r="479" spans="1:16" ht="15" customHeight="1" x14ac:dyDescent="0.35">
      <c r="A479" s="157" t="s">
        <v>724</v>
      </c>
      <c r="B479" s="151">
        <f t="shared" si="975"/>
        <v>0</v>
      </c>
      <c r="C479" s="152">
        <f t="shared" si="976"/>
        <v>0</v>
      </c>
      <c r="D479" s="153"/>
      <c r="E479" s="153"/>
      <c r="F479" s="154">
        <f t="shared" si="977"/>
        <v>0</v>
      </c>
      <c r="G479" s="155"/>
      <c r="H479" s="155"/>
      <c r="I479" s="155"/>
      <c r="J479" s="155"/>
      <c r="K479" s="155"/>
      <c r="L479" s="155"/>
      <c r="M479" s="155"/>
      <c r="N479" s="156"/>
      <c r="O479" s="155"/>
      <c r="P479" s="63"/>
    </row>
    <row r="480" spans="1:16" ht="22.95" customHeight="1" x14ac:dyDescent="0.35">
      <c r="A480" s="158" t="s">
        <v>109</v>
      </c>
      <c r="B480" s="151">
        <f t="shared" si="975"/>
        <v>689492</v>
      </c>
      <c r="C480" s="152">
        <f t="shared" si="976"/>
        <v>603017</v>
      </c>
      <c r="D480" s="153">
        <f>480543+D481</f>
        <v>480543</v>
      </c>
      <c r="E480" s="153">
        <f>122474+E481</f>
        <v>122474</v>
      </c>
      <c r="F480" s="154">
        <f t="shared" si="977"/>
        <v>51567</v>
      </c>
      <c r="G480" s="155">
        <f>350+G481</f>
        <v>350</v>
      </c>
      <c r="H480" s="155">
        <f>33414+H481</f>
        <v>33414</v>
      </c>
      <c r="I480" s="155">
        <f>17413+I481</f>
        <v>17413</v>
      </c>
      <c r="J480" s="155">
        <f t="shared" ref="J480" si="1014">+J481</f>
        <v>0</v>
      </c>
      <c r="K480" s="155">
        <f>390+K481</f>
        <v>390</v>
      </c>
      <c r="L480" s="155">
        <f t="shared" ref="L480" si="1015">+L481</f>
        <v>0</v>
      </c>
      <c r="M480" s="155">
        <f t="shared" ref="M480" si="1016">+M481</f>
        <v>0</v>
      </c>
      <c r="N480" s="156">
        <f>31908+N481</f>
        <v>31908</v>
      </c>
      <c r="O480" s="155">
        <f>3000+O481</f>
        <v>3000</v>
      </c>
      <c r="P480" s="63">
        <f>+P481</f>
        <v>0</v>
      </c>
    </row>
    <row r="481" spans="1:16" ht="15" customHeight="1" x14ac:dyDescent="0.35">
      <c r="A481" s="157" t="s">
        <v>724</v>
      </c>
      <c r="B481" s="151">
        <f t="shared" si="975"/>
        <v>0</v>
      </c>
      <c r="C481" s="152">
        <f t="shared" si="976"/>
        <v>0</v>
      </c>
      <c r="D481" s="153"/>
      <c r="E481" s="153"/>
      <c r="F481" s="154">
        <f t="shared" si="977"/>
        <v>0</v>
      </c>
      <c r="G481" s="155"/>
      <c r="H481" s="155"/>
      <c r="I481" s="155"/>
      <c r="J481" s="155"/>
      <c r="K481" s="155"/>
      <c r="L481" s="155"/>
      <c r="M481" s="155"/>
      <c r="N481" s="156"/>
      <c r="O481" s="155"/>
      <c r="P481" s="63"/>
    </row>
    <row r="482" spans="1:16" ht="18" customHeight="1" x14ac:dyDescent="0.35">
      <c r="A482" s="158" t="s">
        <v>156</v>
      </c>
      <c r="B482" s="151">
        <f t="shared" si="975"/>
        <v>1398894</v>
      </c>
      <c r="C482" s="152">
        <f t="shared" si="976"/>
        <v>0</v>
      </c>
      <c r="D482" s="153">
        <f>+D483</f>
        <v>0</v>
      </c>
      <c r="E482" s="153">
        <f>+E483</f>
        <v>0</v>
      </c>
      <c r="F482" s="154">
        <f t="shared" si="977"/>
        <v>0</v>
      </c>
      <c r="G482" s="155">
        <f>+G483</f>
        <v>0</v>
      </c>
      <c r="H482" s="155">
        <f>+H483</f>
        <v>0</v>
      </c>
      <c r="I482" s="155">
        <f>+I483</f>
        <v>0</v>
      </c>
      <c r="J482" s="155">
        <f t="shared" ref="J482" si="1017">+J483</f>
        <v>0</v>
      </c>
      <c r="K482" s="155">
        <f>+K483</f>
        <v>0</v>
      </c>
      <c r="L482" s="155">
        <f t="shared" ref="L482" si="1018">+L483</f>
        <v>0</v>
      </c>
      <c r="M482" s="155">
        <f t="shared" ref="M482" si="1019">+M483</f>
        <v>0</v>
      </c>
      <c r="N482" s="156">
        <f>+N483</f>
        <v>0</v>
      </c>
      <c r="O482" s="155">
        <f>1398894+O483</f>
        <v>1398894</v>
      </c>
      <c r="P482" s="63">
        <f>+P483</f>
        <v>0</v>
      </c>
    </row>
    <row r="483" spans="1:16" ht="15" customHeight="1" x14ac:dyDescent="0.35">
      <c r="A483" s="157" t="s">
        <v>724</v>
      </c>
      <c r="B483" s="151">
        <f t="shared" si="975"/>
        <v>0</v>
      </c>
      <c r="C483" s="152">
        <f t="shared" si="976"/>
        <v>0</v>
      </c>
      <c r="D483" s="153"/>
      <c r="E483" s="153"/>
      <c r="F483" s="154">
        <f t="shared" si="977"/>
        <v>0</v>
      </c>
      <c r="G483" s="155"/>
      <c r="H483" s="155"/>
      <c r="I483" s="155"/>
      <c r="J483" s="155"/>
      <c r="K483" s="155"/>
      <c r="L483" s="155"/>
      <c r="M483" s="155"/>
      <c r="N483" s="156"/>
      <c r="O483" s="155"/>
      <c r="P483" s="63"/>
    </row>
    <row r="484" spans="1:16" ht="21" customHeight="1" x14ac:dyDescent="0.35">
      <c r="A484" s="158" t="s">
        <v>106</v>
      </c>
      <c r="B484" s="151">
        <f t="shared" si="975"/>
        <v>19120</v>
      </c>
      <c r="C484" s="152">
        <f t="shared" si="976"/>
        <v>0</v>
      </c>
      <c r="D484" s="153">
        <f t="shared" ref="D484" si="1020">+D485</f>
        <v>0</v>
      </c>
      <c r="E484" s="153">
        <f t="shared" ref="E484" si="1021">+E485</f>
        <v>0</v>
      </c>
      <c r="F484" s="154">
        <f t="shared" si="977"/>
        <v>0</v>
      </c>
      <c r="G484" s="155">
        <f t="shared" ref="G484" si="1022">+G485</f>
        <v>0</v>
      </c>
      <c r="H484" s="155">
        <f>+H485</f>
        <v>0</v>
      </c>
      <c r="I484" s="155">
        <f>+I485</f>
        <v>0</v>
      </c>
      <c r="J484" s="155">
        <f t="shared" ref="J484" si="1023">+J485</f>
        <v>0</v>
      </c>
      <c r="K484" s="155">
        <f t="shared" ref="K484" si="1024">+K485</f>
        <v>0</v>
      </c>
      <c r="L484" s="155">
        <f t="shared" ref="L484" si="1025">+L485</f>
        <v>0</v>
      </c>
      <c r="M484" s="155">
        <f t="shared" ref="M484" si="1026">+M485</f>
        <v>0</v>
      </c>
      <c r="N484" s="156">
        <f>+N485</f>
        <v>0</v>
      </c>
      <c r="O484" s="155">
        <f>19120+O485</f>
        <v>19120</v>
      </c>
      <c r="P484" s="63">
        <f>+P485</f>
        <v>0</v>
      </c>
    </row>
    <row r="485" spans="1:16" ht="15" customHeight="1" x14ac:dyDescent="0.35">
      <c r="A485" s="157" t="s">
        <v>724</v>
      </c>
      <c r="B485" s="151">
        <f t="shared" si="975"/>
        <v>0</v>
      </c>
      <c r="C485" s="152">
        <f t="shared" si="976"/>
        <v>0</v>
      </c>
      <c r="D485" s="153"/>
      <c r="E485" s="153"/>
      <c r="F485" s="154">
        <f t="shared" si="977"/>
        <v>0</v>
      </c>
      <c r="G485" s="155"/>
      <c r="H485" s="155"/>
      <c r="I485" s="155"/>
      <c r="J485" s="155"/>
      <c r="K485" s="155"/>
      <c r="L485" s="155"/>
      <c r="M485" s="155"/>
      <c r="N485" s="156"/>
      <c r="O485" s="155"/>
      <c r="P485" s="63"/>
    </row>
    <row r="486" spans="1:16" ht="19.95" customHeight="1" x14ac:dyDescent="0.35">
      <c r="A486" s="158" t="s">
        <v>37</v>
      </c>
      <c r="B486" s="151">
        <f t="shared" si="975"/>
        <v>21627</v>
      </c>
      <c r="C486" s="152">
        <f t="shared" si="976"/>
        <v>0</v>
      </c>
      <c r="D486" s="153">
        <f t="shared" ref="D486" si="1027">+D487</f>
        <v>0</v>
      </c>
      <c r="E486" s="153">
        <f t="shared" ref="E486" si="1028">+E487</f>
        <v>0</v>
      </c>
      <c r="F486" s="154">
        <f t="shared" si="977"/>
        <v>21627</v>
      </c>
      <c r="G486" s="155">
        <f t="shared" ref="G486" si="1029">+G487</f>
        <v>0</v>
      </c>
      <c r="H486" s="155">
        <f>18807+H487</f>
        <v>18807</v>
      </c>
      <c r="I486" s="155">
        <f>2820+I487</f>
        <v>2820</v>
      </c>
      <c r="J486" s="155">
        <f t="shared" ref="J486" si="1030">+J487</f>
        <v>0</v>
      </c>
      <c r="K486" s="155">
        <f t="shared" ref="K486" si="1031">+K487</f>
        <v>0</v>
      </c>
      <c r="L486" s="155">
        <f t="shared" ref="L486" si="1032">+L487</f>
        <v>0</v>
      </c>
      <c r="M486" s="155">
        <f t="shared" ref="M486" si="1033">+M487</f>
        <v>0</v>
      </c>
      <c r="N486" s="156">
        <f>+N487</f>
        <v>0</v>
      </c>
      <c r="O486" s="155">
        <f>+O487</f>
        <v>0</v>
      </c>
      <c r="P486" s="155">
        <f>+P487</f>
        <v>0</v>
      </c>
    </row>
    <row r="487" spans="1:16" ht="15" customHeight="1" x14ac:dyDescent="0.35">
      <c r="A487" s="157" t="s">
        <v>724</v>
      </c>
      <c r="B487" s="151">
        <f t="shared" si="975"/>
        <v>0</v>
      </c>
      <c r="C487" s="152">
        <f t="shared" si="976"/>
        <v>0</v>
      </c>
      <c r="D487" s="153"/>
      <c r="E487" s="153"/>
      <c r="F487" s="154">
        <f t="shared" si="977"/>
        <v>0</v>
      </c>
      <c r="G487" s="155"/>
      <c r="H487" s="155"/>
      <c r="I487" s="155"/>
      <c r="J487" s="155"/>
      <c r="K487" s="155"/>
      <c r="L487" s="155"/>
      <c r="M487" s="155"/>
      <c r="N487" s="156"/>
      <c r="O487" s="155"/>
      <c r="P487" s="63"/>
    </row>
    <row r="488" spans="1:16" ht="24" customHeight="1" x14ac:dyDescent="0.35">
      <c r="A488" s="158" t="s">
        <v>43</v>
      </c>
      <c r="B488" s="151">
        <f t="shared" si="975"/>
        <v>331015</v>
      </c>
      <c r="C488" s="152">
        <f t="shared" si="976"/>
        <v>97008</v>
      </c>
      <c r="D488" s="153">
        <f>78519+D489</f>
        <v>78519</v>
      </c>
      <c r="E488" s="153">
        <f>18489+E489</f>
        <v>18489</v>
      </c>
      <c r="F488" s="154">
        <f t="shared" si="977"/>
        <v>39608</v>
      </c>
      <c r="G488" s="155">
        <f t="shared" ref="G488" si="1034">+G489</f>
        <v>0</v>
      </c>
      <c r="H488" s="155">
        <f>38568+H489</f>
        <v>38568</v>
      </c>
      <c r="I488" s="155">
        <f>1040+I489</f>
        <v>1040</v>
      </c>
      <c r="J488" s="155">
        <f t="shared" ref="J488" si="1035">+J489</f>
        <v>0</v>
      </c>
      <c r="K488" s="155">
        <f t="shared" ref="K488" si="1036">+K489</f>
        <v>0</v>
      </c>
      <c r="L488" s="155">
        <f t="shared" ref="L488" si="1037">+L489</f>
        <v>0</v>
      </c>
      <c r="M488" s="155">
        <f t="shared" ref="M488" si="1038">+M489</f>
        <v>0</v>
      </c>
      <c r="N488" s="156">
        <f>7777+N489</f>
        <v>7777</v>
      </c>
      <c r="O488" s="155">
        <f>186622+O489</f>
        <v>186622</v>
      </c>
      <c r="P488" s="155">
        <f>+P489</f>
        <v>0</v>
      </c>
    </row>
    <row r="489" spans="1:16" ht="15" customHeight="1" x14ac:dyDescent="0.35">
      <c r="A489" s="157" t="s">
        <v>724</v>
      </c>
      <c r="B489" s="151">
        <f t="shared" si="975"/>
        <v>0</v>
      </c>
      <c r="C489" s="152">
        <f t="shared" si="976"/>
        <v>0</v>
      </c>
      <c r="D489" s="153"/>
      <c r="E489" s="153"/>
      <c r="F489" s="154">
        <f t="shared" si="977"/>
        <v>0</v>
      </c>
      <c r="G489" s="155"/>
      <c r="H489" s="155"/>
      <c r="I489" s="155"/>
      <c r="J489" s="155"/>
      <c r="K489" s="155"/>
      <c r="L489" s="155"/>
      <c r="M489" s="155"/>
      <c r="N489" s="156"/>
      <c r="O489" s="155"/>
      <c r="P489" s="63"/>
    </row>
    <row r="490" spans="1:16" ht="23.4" customHeight="1" x14ac:dyDescent="0.35">
      <c r="A490" s="158" t="s">
        <v>35</v>
      </c>
      <c r="B490" s="151">
        <f t="shared" si="975"/>
        <v>1974291</v>
      </c>
      <c r="C490" s="152">
        <f t="shared" si="976"/>
        <v>1145923</v>
      </c>
      <c r="D490" s="153">
        <f>916143+D491</f>
        <v>916143</v>
      </c>
      <c r="E490" s="153">
        <f>229780+E491</f>
        <v>229780</v>
      </c>
      <c r="F490" s="154">
        <f t="shared" si="977"/>
        <v>824668</v>
      </c>
      <c r="G490" s="155">
        <f>500+G491</f>
        <v>500</v>
      </c>
      <c r="H490" s="155">
        <f>100249+H491</f>
        <v>124661</v>
      </c>
      <c r="I490" s="155">
        <f>703506+I491</f>
        <v>698507</v>
      </c>
      <c r="J490" s="155">
        <f t="shared" ref="J490" si="1039">+J491</f>
        <v>0</v>
      </c>
      <c r="K490" s="155">
        <f>1000+K491</f>
        <v>1000</v>
      </c>
      <c r="L490" s="155">
        <f t="shared" ref="L490" si="1040">+L491</f>
        <v>0</v>
      </c>
      <c r="M490" s="155">
        <f t="shared" ref="M490" si="1041">+M491</f>
        <v>0</v>
      </c>
      <c r="N490" s="156">
        <f>+N491</f>
        <v>0</v>
      </c>
      <c r="O490" s="155">
        <f>3700+O491</f>
        <v>3700</v>
      </c>
      <c r="P490" s="155">
        <f>+P491</f>
        <v>0</v>
      </c>
    </row>
    <row r="491" spans="1:16" ht="15" customHeight="1" x14ac:dyDescent="0.35">
      <c r="A491" s="157" t="s">
        <v>724</v>
      </c>
      <c r="B491" s="151">
        <f t="shared" si="975"/>
        <v>19413</v>
      </c>
      <c r="C491" s="152">
        <f t="shared" si="976"/>
        <v>0</v>
      </c>
      <c r="D491" s="153"/>
      <c r="E491" s="153"/>
      <c r="F491" s="154">
        <f t="shared" si="977"/>
        <v>19413</v>
      </c>
      <c r="G491" s="155"/>
      <c r="H491" s="155">
        <f>19413+4999</f>
        <v>24412</v>
      </c>
      <c r="I491" s="155">
        <v>-4999</v>
      </c>
      <c r="J491" s="155"/>
      <c r="K491" s="155"/>
      <c r="L491" s="155"/>
      <c r="M491" s="155"/>
      <c r="N491" s="156"/>
      <c r="O491" s="155"/>
      <c r="P491" s="63"/>
    </row>
    <row r="492" spans="1:16" ht="24" customHeight="1" x14ac:dyDescent="0.35">
      <c r="A492" s="158" t="s">
        <v>69</v>
      </c>
      <c r="B492" s="151">
        <f t="shared" si="975"/>
        <v>359898</v>
      </c>
      <c r="C492" s="152">
        <f t="shared" si="976"/>
        <v>242571</v>
      </c>
      <c r="D492" s="153">
        <f>196184+D493</f>
        <v>196184</v>
      </c>
      <c r="E492" s="153">
        <f>46387+E493</f>
        <v>46387</v>
      </c>
      <c r="F492" s="154">
        <f t="shared" si="977"/>
        <v>117327</v>
      </c>
      <c r="G492" s="155">
        <f>280+G493</f>
        <v>280</v>
      </c>
      <c r="H492" s="155">
        <f>16590+H493</f>
        <v>16590</v>
      </c>
      <c r="I492" s="155">
        <f>100107+I493</f>
        <v>100107</v>
      </c>
      <c r="J492" s="155">
        <f t="shared" ref="J492" si="1042">+J493</f>
        <v>0</v>
      </c>
      <c r="K492" s="155">
        <f>350+K493</f>
        <v>350</v>
      </c>
      <c r="L492" s="155">
        <f t="shared" ref="L492" si="1043">+L493</f>
        <v>0</v>
      </c>
      <c r="M492" s="155">
        <f t="shared" ref="M492" si="1044">+M493</f>
        <v>0</v>
      </c>
      <c r="N492" s="156">
        <f>+N493</f>
        <v>0</v>
      </c>
      <c r="O492" s="155">
        <f>+O493</f>
        <v>0</v>
      </c>
      <c r="P492" s="155">
        <f>+P493</f>
        <v>0</v>
      </c>
    </row>
    <row r="493" spans="1:16" ht="15" customHeight="1" x14ac:dyDescent="0.35">
      <c r="A493" s="157" t="s">
        <v>724</v>
      </c>
      <c r="B493" s="151">
        <f t="shared" si="975"/>
        <v>0</v>
      </c>
      <c r="C493" s="152">
        <f t="shared" si="976"/>
        <v>0</v>
      </c>
      <c r="D493" s="153"/>
      <c r="E493" s="153"/>
      <c r="F493" s="154">
        <f t="shared" si="977"/>
        <v>0</v>
      </c>
      <c r="G493" s="155"/>
      <c r="H493" s="155"/>
      <c r="I493" s="155"/>
      <c r="J493" s="155"/>
      <c r="K493" s="155"/>
      <c r="L493" s="155"/>
      <c r="M493" s="155"/>
      <c r="N493" s="156"/>
      <c r="O493" s="155"/>
      <c r="P493" s="63"/>
    </row>
    <row r="494" spans="1:16" ht="23.4" customHeight="1" x14ac:dyDescent="0.35">
      <c r="A494" s="158" t="s">
        <v>71</v>
      </c>
      <c r="B494" s="151">
        <f t="shared" si="975"/>
        <v>265031</v>
      </c>
      <c r="C494" s="152">
        <f t="shared" si="976"/>
        <v>165028</v>
      </c>
      <c r="D494" s="153">
        <f>129540+D495</f>
        <v>129540</v>
      </c>
      <c r="E494" s="153">
        <f>35488+E495</f>
        <v>35488</v>
      </c>
      <c r="F494" s="154">
        <f t="shared" si="977"/>
        <v>92103</v>
      </c>
      <c r="G494" s="155">
        <f>138+G495</f>
        <v>138</v>
      </c>
      <c r="H494" s="155">
        <f>24459+3000+H495</f>
        <v>33505</v>
      </c>
      <c r="I494" s="155">
        <f>58460+I495</f>
        <v>58460</v>
      </c>
      <c r="J494" s="155">
        <f t="shared" ref="J494" si="1045">+J495</f>
        <v>0</v>
      </c>
      <c r="K494" s="155">
        <f>+K495</f>
        <v>0</v>
      </c>
      <c r="L494" s="155">
        <f t="shared" ref="L494" si="1046">+L495</f>
        <v>0</v>
      </c>
      <c r="M494" s="155">
        <f t="shared" ref="M494" si="1047">+M495</f>
        <v>0</v>
      </c>
      <c r="N494" s="156">
        <f>7900+N495</f>
        <v>7900</v>
      </c>
      <c r="O494" s="155">
        <f>+O495</f>
        <v>0</v>
      </c>
      <c r="P494" s="155">
        <f>+P495</f>
        <v>0</v>
      </c>
    </row>
    <row r="495" spans="1:16" ht="15" customHeight="1" x14ac:dyDescent="0.35">
      <c r="A495" s="157" t="s">
        <v>724</v>
      </c>
      <c r="B495" s="151">
        <f t="shared" si="975"/>
        <v>6046</v>
      </c>
      <c r="C495" s="152">
        <f t="shared" si="976"/>
        <v>0</v>
      </c>
      <c r="D495" s="153"/>
      <c r="E495" s="153"/>
      <c r="F495" s="154">
        <f t="shared" si="977"/>
        <v>6046</v>
      </c>
      <c r="G495" s="155"/>
      <c r="H495" s="155">
        <v>6046</v>
      </c>
      <c r="I495" s="155"/>
      <c r="J495" s="155"/>
      <c r="K495" s="155"/>
      <c r="L495" s="155"/>
      <c r="M495" s="155"/>
      <c r="N495" s="156"/>
      <c r="O495" s="155"/>
      <c r="P495" s="63"/>
    </row>
    <row r="496" spans="1:16" ht="22.95" customHeight="1" x14ac:dyDescent="0.35">
      <c r="A496" s="158" t="s">
        <v>70</v>
      </c>
      <c r="B496" s="151">
        <f t="shared" si="975"/>
        <v>355357</v>
      </c>
      <c r="C496" s="152">
        <f t="shared" si="976"/>
        <v>253689</v>
      </c>
      <c r="D496" s="153">
        <f>196222+D497</f>
        <v>196222</v>
      </c>
      <c r="E496" s="153">
        <f>57467+E497</f>
        <v>57467</v>
      </c>
      <c r="F496" s="154">
        <f t="shared" si="977"/>
        <v>98560</v>
      </c>
      <c r="G496" s="155">
        <f>138+G497</f>
        <v>138</v>
      </c>
      <c r="H496" s="155">
        <f>27615+H497</f>
        <v>27615</v>
      </c>
      <c r="I496" s="155">
        <f>70319+I497</f>
        <v>70319</v>
      </c>
      <c r="J496" s="155">
        <f t="shared" ref="J496" si="1048">+J497</f>
        <v>0</v>
      </c>
      <c r="K496" s="155">
        <f>488+K497</f>
        <v>488</v>
      </c>
      <c r="L496" s="155">
        <f t="shared" ref="L496" si="1049">+L497</f>
        <v>0</v>
      </c>
      <c r="M496" s="155">
        <f t="shared" ref="M496" si="1050">+M497</f>
        <v>0</v>
      </c>
      <c r="N496" s="156">
        <f>3108+N497</f>
        <v>3108</v>
      </c>
      <c r="O496" s="155">
        <f>+O497</f>
        <v>0</v>
      </c>
      <c r="P496" s="155">
        <f>+P497</f>
        <v>0</v>
      </c>
    </row>
    <row r="497" spans="1:16" ht="15" customHeight="1" x14ac:dyDescent="0.35">
      <c r="A497" s="157" t="s">
        <v>724</v>
      </c>
      <c r="B497" s="151">
        <f t="shared" si="975"/>
        <v>0</v>
      </c>
      <c r="C497" s="152">
        <f t="shared" si="976"/>
        <v>0</v>
      </c>
      <c r="D497" s="153"/>
      <c r="E497" s="153"/>
      <c r="F497" s="154">
        <f t="shared" si="977"/>
        <v>0</v>
      </c>
      <c r="G497" s="155"/>
      <c r="H497" s="155"/>
      <c r="I497" s="155"/>
      <c r="J497" s="155"/>
      <c r="K497" s="155"/>
      <c r="L497" s="155"/>
      <c r="M497" s="155"/>
      <c r="N497" s="156"/>
      <c r="O497" s="155"/>
      <c r="P497" s="63"/>
    </row>
    <row r="498" spans="1:16" ht="30" customHeight="1" x14ac:dyDescent="0.35">
      <c r="A498" s="158" t="s">
        <v>61</v>
      </c>
      <c r="B498" s="151">
        <f t="shared" si="975"/>
        <v>272274</v>
      </c>
      <c r="C498" s="152">
        <f t="shared" si="976"/>
        <v>234441</v>
      </c>
      <c r="D498" s="153">
        <f>189105+D499</f>
        <v>189105</v>
      </c>
      <c r="E498" s="153">
        <f>45336+E499</f>
        <v>45336</v>
      </c>
      <c r="F498" s="154">
        <f t="shared" si="977"/>
        <v>36633</v>
      </c>
      <c r="G498" s="155">
        <f>120+G499</f>
        <v>120</v>
      </c>
      <c r="H498" s="155">
        <f>28381+H499</f>
        <v>28381</v>
      </c>
      <c r="I498" s="155">
        <f>8078+I499</f>
        <v>8078</v>
      </c>
      <c r="J498" s="155">
        <f t="shared" ref="J498" si="1051">+J499</f>
        <v>0</v>
      </c>
      <c r="K498" s="155">
        <f>54+K499</f>
        <v>54</v>
      </c>
      <c r="L498" s="155">
        <f t="shared" ref="L498" si="1052">+L499</f>
        <v>0</v>
      </c>
      <c r="M498" s="155">
        <f t="shared" ref="M498" si="1053">+M499</f>
        <v>0</v>
      </c>
      <c r="N498" s="156">
        <f>1200+N499</f>
        <v>1200</v>
      </c>
      <c r="O498" s="155">
        <f>+O499</f>
        <v>0</v>
      </c>
      <c r="P498" s="155">
        <f>+P499</f>
        <v>0</v>
      </c>
    </row>
    <row r="499" spans="1:16" ht="15" customHeight="1" x14ac:dyDescent="0.35">
      <c r="A499" s="157" t="s">
        <v>724</v>
      </c>
      <c r="B499" s="151">
        <f t="shared" si="975"/>
        <v>0</v>
      </c>
      <c r="C499" s="152">
        <f t="shared" si="976"/>
        <v>0</v>
      </c>
      <c r="D499" s="153"/>
      <c r="E499" s="153"/>
      <c r="F499" s="154">
        <f t="shared" si="977"/>
        <v>0</v>
      </c>
      <c r="G499" s="155"/>
      <c r="H499" s="155"/>
      <c r="I499" s="155"/>
      <c r="J499" s="155"/>
      <c r="K499" s="155"/>
      <c r="L499" s="155"/>
      <c r="M499" s="155"/>
      <c r="N499" s="156"/>
      <c r="O499" s="155"/>
      <c r="P499" s="63"/>
    </row>
    <row r="500" spans="1:16" ht="30" customHeight="1" x14ac:dyDescent="0.35">
      <c r="A500" s="158" t="s">
        <v>110</v>
      </c>
      <c r="B500" s="151">
        <f t="shared" si="975"/>
        <v>71906</v>
      </c>
      <c r="C500" s="152">
        <f t="shared" si="976"/>
        <v>61966</v>
      </c>
      <c r="D500" s="159">
        <f>49376+D501</f>
        <v>49376</v>
      </c>
      <c r="E500" s="159">
        <f>12590+E501</f>
        <v>12590</v>
      </c>
      <c r="F500" s="154">
        <f t="shared" si="977"/>
        <v>9940</v>
      </c>
      <c r="G500" s="162">
        <f>100+G501</f>
        <v>100</v>
      </c>
      <c r="H500" s="162">
        <f>2723+H501</f>
        <v>2723</v>
      </c>
      <c r="I500" s="162">
        <f>7117+I501</f>
        <v>7117</v>
      </c>
      <c r="J500" s="155">
        <f t="shared" ref="J500" si="1054">+J501</f>
        <v>0</v>
      </c>
      <c r="K500" s="162">
        <f>+K501</f>
        <v>0</v>
      </c>
      <c r="L500" s="155">
        <f t="shared" ref="L500" si="1055">+L501</f>
        <v>0</v>
      </c>
      <c r="M500" s="155">
        <f t="shared" ref="M500" si="1056">+M501</f>
        <v>0</v>
      </c>
      <c r="N500" s="160">
        <f>+N501</f>
        <v>0</v>
      </c>
      <c r="O500" s="155">
        <f>+O501</f>
        <v>0</v>
      </c>
      <c r="P500" s="155">
        <f>+P501</f>
        <v>0</v>
      </c>
    </row>
    <row r="501" spans="1:16" ht="15" customHeight="1" x14ac:dyDescent="0.35">
      <c r="A501" s="157" t="s">
        <v>724</v>
      </c>
      <c r="B501" s="151">
        <f t="shared" si="975"/>
        <v>0</v>
      </c>
      <c r="C501" s="152">
        <f t="shared" si="976"/>
        <v>0</v>
      </c>
      <c r="D501" s="159"/>
      <c r="E501" s="159"/>
      <c r="F501" s="154">
        <f t="shared" si="977"/>
        <v>0</v>
      </c>
      <c r="G501" s="162"/>
      <c r="H501" s="162"/>
      <c r="I501" s="162"/>
      <c r="J501" s="155"/>
      <c r="K501" s="162"/>
      <c r="L501" s="155"/>
      <c r="M501" s="155"/>
      <c r="N501" s="160"/>
      <c r="O501" s="162"/>
      <c r="P501" s="63"/>
    </row>
    <row r="502" spans="1:16" ht="30" customHeight="1" x14ac:dyDescent="0.35">
      <c r="A502" s="158" t="s">
        <v>111</v>
      </c>
      <c r="B502" s="151">
        <f t="shared" si="975"/>
        <v>148922</v>
      </c>
      <c r="C502" s="152">
        <f t="shared" si="976"/>
        <v>132620</v>
      </c>
      <c r="D502" s="153">
        <f>106845+D503</f>
        <v>106845</v>
      </c>
      <c r="E502" s="153">
        <f>25775+E503</f>
        <v>25775</v>
      </c>
      <c r="F502" s="154">
        <f t="shared" si="977"/>
        <v>16302</v>
      </c>
      <c r="G502" s="155">
        <f>+G503</f>
        <v>0</v>
      </c>
      <c r="H502" s="155">
        <f>6373+H503</f>
        <v>6373</v>
      </c>
      <c r="I502" s="155">
        <f>9929+I503</f>
        <v>9929</v>
      </c>
      <c r="J502" s="155">
        <f t="shared" ref="J502" si="1057">+J503</f>
        <v>0</v>
      </c>
      <c r="K502" s="162">
        <f t="shared" ref="K502" si="1058">+K503</f>
        <v>0</v>
      </c>
      <c r="L502" s="155">
        <f t="shared" ref="L502" si="1059">+L503</f>
        <v>0</v>
      </c>
      <c r="M502" s="155">
        <f t="shared" ref="M502" si="1060">+M503</f>
        <v>0</v>
      </c>
      <c r="N502" s="156">
        <f>+N503</f>
        <v>0</v>
      </c>
      <c r="O502" s="155">
        <f>+O503</f>
        <v>0</v>
      </c>
      <c r="P502" s="155">
        <f>+P503</f>
        <v>0</v>
      </c>
    </row>
    <row r="503" spans="1:16" ht="15" customHeight="1" x14ac:dyDescent="0.35">
      <c r="A503" s="157" t="s">
        <v>724</v>
      </c>
      <c r="B503" s="151">
        <f t="shared" si="975"/>
        <v>0</v>
      </c>
      <c r="C503" s="152">
        <f t="shared" si="976"/>
        <v>0</v>
      </c>
      <c r="D503" s="153"/>
      <c r="E503" s="153"/>
      <c r="F503" s="154">
        <f t="shared" si="977"/>
        <v>0</v>
      </c>
      <c r="G503" s="155"/>
      <c r="H503" s="155"/>
      <c r="I503" s="155"/>
      <c r="J503" s="155"/>
      <c r="K503" s="162"/>
      <c r="L503" s="155"/>
      <c r="M503" s="155"/>
      <c r="N503" s="156"/>
      <c r="O503" s="155"/>
      <c r="P503" s="63"/>
    </row>
    <row r="504" spans="1:16" ht="30" customHeight="1" x14ac:dyDescent="0.35">
      <c r="A504" s="158" t="s">
        <v>222</v>
      </c>
      <c r="B504" s="151">
        <f t="shared" si="975"/>
        <v>778685</v>
      </c>
      <c r="C504" s="152">
        <f t="shared" si="976"/>
        <v>726476</v>
      </c>
      <c r="D504" s="153">
        <f>587593+D505</f>
        <v>587593</v>
      </c>
      <c r="E504" s="153">
        <f>138883+E505</f>
        <v>138883</v>
      </c>
      <c r="F504" s="154">
        <f t="shared" si="977"/>
        <v>40738</v>
      </c>
      <c r="G504" s="155">
        <f t="shared" ref="G504" si="1061">+G505</f>
        <v>0</v>
      </c>
      <c r="H504" s="155">
        <f>16008+H505</f>
        <v>16008</v>
      </c>
      <c r="I504" s="155">
        <f>24730+I505</f>
        <v>24730</v>
      </c>
      <c r="J504" s="155">
        <f t="shared" ref="J504" si="1062">+J505</f>
        <v>0</v>
      </c>
      <c r="K504" s="162">
        <f t="shared" ref="K504" si="1063">+K505</f>
        <v>0</v>
      </c>
      <c r="L504" s="155">
        <f t="shared" ref="L504" si="1064">+L505</f>
        <v>0</v>
      </c>
      <c r="M504" s="155">
        <f t="shared" ref="M504" si="1065">+M505</f>
        <v>0</v>
      </c>
      <c r="N504" s="156">
        <f>11471+N505</f>
        <v>11471</v>
      </c>
      <c r="O504" s="155">
        <f>+O505</f>
        <v>0</v>
      </c>
      <c r="P504" s="155">
        <f>+P505</f>
        <v>0</v>
      </c>
    </row>
    <row r="505" spans="1:16" ht="15" customHeight="1" x14ac:dyDescent="0.35">
      <c r="A505" s="157" t="s">
        <v>724</v>
      </c>
      <c r="B505" s="151">
        <f t="shared" si="975"/>
        <v>0</v>
      </c>
      <c r="C505" s="152">
        <f t="shared" si="976"/>
        <v>0</v>
      </c>
      <c r="D505" s="153"/>
      <c r="E505" s="153"/>
      <c r="F505" s="154">
        <f t="shared" si="977"/>
        <v>0</v>
      </c>
      <c r="G505" s="155"/>
      <c r="H505" s="155"/>
      <c r="I505" s="155"/>
      <c r="J505" s="155"/>
      <c r="K505" s="162"/>
      <c r="L505" s="155"/>
      <c r="M505" s="155"/>
      <c r="N505" s="156"/>
      <c r="O505" s="155"/>
      <c r="P505" s="63"/>
    </row>
    <row r="506" spans="1:16" ht="30" customHeight="1" x14ac:dyDescent="0.35">
      <c r="A506" s="158" t="s">
        <v>681</v>
      </c>
      <c r="B506" s="151">
        <f t="shared" si="975"/>
        <v>18734</v>
      </c>
      <c r="C506" s="152">
        <f t="shared" si="976"/>
        <v>0</v>
      </c>
      <c r="D506" s="153">
        <f>+D507</f>
        <v>0</v>
      </c>
      <c r="E506" s="153">
        <f>+E507</f>
        <v>0</v>
      </c>
      <c r="F506" s="154">
        <f t="shared" si="977"/>
        <v>18734</v>
      </c>
      <c r="G506" s="155">
        <f t="shared" ref="G506" si="1066">+G507</f>
        <v>0</v>
      </c>
      <c r="H506" s="155">
        <f>18734+H507</f>
        <v>18734</v>
      </c>
      <c r="I506" s="155">
        <f>+I507</f>
        <v>0</v>
      </c>
      <c r="J506" s="155">
        <f t="shared" ref="J506" si="1067">+J507</f>
        <v>0</v>
      </c>
      <c r="K506" s="162">
        <f t="shared" ref="K506" si="1068">+K507</f>
        <v>0</v>
      </c>
      <c r="L506" s="155">
        <f>+L507</f>
        <v>0</v>
      </c>
      <c r="M506" s="155">
        <f t="shared" ref="L506:M518" si="1069">+M507</f>
        <v>0</v>
      </c>
      <c r="N506" s="156">
        <f>+N507</f>
        <v>0</v>
      </c>
      <c r="O506" s="155">
        <f>+O507</f>
        <v>0</v>
      </c>
      <c r="P506" s="155">
        <f>+P507</f>
        <v>0</v>
      </c>
    </row>
    <row r="507" spans="1:16" ht="15" customHeight="1" x14ac:dyDescent="0.35">
      <c r="A507" s="157" t="s">
        <v>724</v>
      </c>
      <c r="B507" s="151">
        <f t="shared" si="975"/>
        <v>0</v>
      </c>
      <c r="C507" s="152">
        <f t="shared" si="976"/>
        <v>0</v>
      </c>
      <c r="D507" s="153"/>
      <c r="E507" s="153"/>
      <c r="F507" s="154">
        <f t="shared" si="977"/>
        <v>0</v>
      </c>
      <c r="G507" s="155"/>
      <c r="H507" s="155"/>
      <c r="I507" s="155"/>
      <c r="J507" s="155"/>
      <c r="K507" s="162"/>
      <c r="L507" s="155"/>
      <c r="M507" s="155"/>
      <c r="N507" s="156"/>
      <c r="O507" s="155"/>
      <c r="P507" s="63"/>
    </row>
    <row r="508" spans="1:16" ht="25.95" customHeight="1" x14ac:dyDescent="0.35">
      <c r="A508" s="158" t="s">
        <v>151</v>
      </c>
      <c r="B508" s="151">
        <f t="shared" si="975"/>
        <v>1000</v>
      </c>
      <c r="C508" s="152">
        <f t="shared" si="976"/>
        <v>0</v>
      </c>
      <c r="D508" s="153">
        <f t="shared" ref="D508" si="1070">+D509</f>
        <v>0</v>
      </c>
      <c r="E508" s="153">
        <f t="shared" ref="E508" si="1071">+E509</f>
        <v>0</v>
      </c>
      <c r="F508" s="154">
        <f t="shared" si="977"/>
        <v>0</v>
      </c>
      <c r="G508" s="155">
        <f t="shared" ref="G508" si="1072">+G509</f>
        <v>0</v>
      </c>
      <c r="H508" s="155">
        <f>+H509</f>
        <v>0</v>
      </c>
      <c r="I508" s="155">
        <f t="shared" ref="I508" si="1073">+I509</f>
        <v>0</v>
      </c>
      <c r="J508" s="155">
        <f t="shared" ref="J508" si="1074">+J509</f>
        <v>0</v>
      </c>
      <c r="K508" s="162">
        <f t="shared" ref="K508" si="1075">+K509</f>
        <v>0</v>
      </c>
      <c r="L508" s="155">
        <f>1000+L509</f>
        <v>1000</v>
      </c>
      <c r="M508" s="155">
        <f t="shared" si="1069"/>
        <v>0</v>
      </c>
      <c r="N508" s="156">
        <f>+N509</f>
        <v>0</v>
      </c>
      <c r="O508" s="155">
        <f>+O509</f>
        <v>0</v>
      </c>
      <c r="P508" s="155">
        <f>+P509</f>
        <v>0</v>
      </c>
    </row>
    <row r="509" spans="1:16" ht="15" customHeight="1" x14ac:dyDescent="0.35">
      <c r="A509" s="157" t="s">
        <v>724</v>
      </c>
      <c r="B509" s="151">
        <f t="shared" si="975"/>
        <v>0</v>
      </c>
      <c r="C509" s="152">
        <f t="shared" si="976"/>
        <v>0</v>
      </c>
      <c r="D509" s="153"/>
      <c r="E509" s="153"/>
      <c r="F509" s="154">
        <f t="shared" si="977"/>
        <v>0</v>
      </c>
      <c r="G509" s="155"/>
      <c r="H509" s="155"/>
      <c r="I509" s="155"/>
      <c r="J509" s="155"/>
      <c r="K509" s="162"/>
      <c r="L509" s="155"/>
      <c r="M509" s="155"/>
      <c r="N509" s="156"/>
      <c r="O509" s="155"/>
      <c r="P509" s="63"/>
    </row>
    <row r="510" spans="1:16" ht="24" customHeight="1" x14ac:dyDescent="0.35">
      <c r="A510" s="158" t="s">
        <v>152</v>
      </c>
      <c r="B510" s="151">
        <f t="shared" si="975"/>
        <v>1000</v>
      </c>
      <c r="C510" s="152">
        <f t="shared" si="976"/>
        <v>0</v>
      </c>
      <c r="D510" s="153">
        <f t="shared" ref="D510" si="1076">+D511</f>
        <v>0</v>
      </c>
      <c r="E510" s="153">
        <f t="shared" ref="E510" si="1077">+E511</f>
        <v>0</v>
      </c>
      <c r="F510" s="154">
        <f t="shared" si="977"/>
        <v>0</v>
      </c>
      <c r="G510" s="155">
        <f t="shared" ref="G510" si="1078">+G511</f>
        <v>0</v>
      </c>
      <c r="H510" s="155">
        <f t="shared" ref="H510" si="1079">+H511</f>
        <v>0</v>
      </c>
      <c r="I510" s="155">
        <f t="shared" ref="I510" si="1080">+I511</f>
        <v>0</v>
      </c>
      <c r="J510" s="155">
        <f t="shared" ref="J510" si="1081">+J511</f>
        <v>0</v>
      </c>
      <c r="K510" s="162">
        <f t="shared" ref="K510" si="1082">+K511</f>
        <v>0</v>
      </c>
      <c r="L510" s="155">
        <f>1000+L511</f>
        <v>1000</v>
      </c>
      <c r="M510" s="155">
        <f t="shared" si="1069"/>
        <v>0</v>
      </c>
      <c r="N510" s="156">
        <f>+N511</f>
        <v>0</v>
      </c>
      <c r="O510" s="155">
        <f>+O511</f>
        <v>0</v>
      </c>
      <c r="P510" s="155">
        <f>+P511</f>
        <v>0</v>
      </c>
    </row>
    <row r="511" spans="1:16" ht="15" customHeight="1" x14ac:dyDescent="0.35">
      <c r="A511" s="157" t="s">
        <v>724</v>
      </c>
      <c r="B511" s="151">
        <f t="shared" si="975"/>
        <v>0</v>
      </c>
      <c r="C511" s="152">
        <f t="shared" si="976"/>
        <v>0</v>
      </c>
      <c r="D511" s="153"/>
      <c r="E511" s="153"/>
      <c r="F511" s="154">
        <f t="shared" si="977"/>
        <v>0</v>
      </c>
      <c r="G511" s="155"/>
      <c r="H511" s="155"/>
      <c r="I511" s="155"/>
      <c r="J511" s="155"/>
      <c r="K511" s="162"/>
      <c r="L511" s="155"/>
      <c r="M511" s="155"/>
      <c r="N511" s="156"/>
      <c r="O511" s="155"/>
      <c r="P511" s="63"/>
    </row>
    <row r="512" spans="1:16" ht="28.95" customHeight="1" x14ac:dyDescent="0.35">
      <c r="A512" s="158" t="s">
        <v>542</v>
      </c>
      <c r="B512" s="151">
        <f t="shared" si="975"/>
        <v>150</v>
      </c>
      <c r="C512" s="152">
        <f t="shared" si="976"/>
        <v>0</v>
      </c>
      <c r="D512" s="153">
        <f t="shared" ref="D512" si="1083">+D513</f>
        <v>0</v>
      </c>
      <c r="E512" s="153">
        <f t="shared" ref="E512" si="1084">+E513</f>
        <v>0</v>
      </c>
      <c r="F512" s="154">
        <f t="shared" si="977"/>
        <v>0</v>
      </c>
      <c r="G512" s="155">
        <f t="shared" ref="G512" si="1085">+G513</f>
        <v>0</v>
      </c>
      <c r="H512" s="155">
        <f t="shared" ref="H512" si="1086">+H513</f>
        <v>0</v>
      </c>
      <c r="I512" s="155">
        <f t="shared" ref="I512" si="1087">+I513</f>
        <v>0</v>
      </c>
      <c r="J512" s="155">
        <f t="shared" ref="J512" si="1088">+J513</f>
        <v>0</v>
      </c>
      <c r="K512" s="162">
        <f t="shared" ref="K512" si="1089">+K513</f>
        <v>0</v>
      </c>
      <c r="L512" s="155">
        <f>150+L513</f>
        <v>150</v>
      </c>
      <c r="M512" s="155">
        <f t="shared" si="1069"/>
        <v>0</v>
      </c>
      <c r="N512" s="156">
        <f>+N513</f>
        <v>0</v>
      </c>
      <c r="O512" s="155">
        <f>+O513</f>
        <v>0</v>
      </c>
      <c r="P512" s="155">
        <f>+P513</f>
        <v>0</v>
      </c>
    </row>
    <row r="513" spans="1:16" ht="15" customHeight="1" x14ac:dyDescent="0.35">
      <c r="A513" s="157" t="s">
        <v>724</v>
      </c>
      <c r="B513" s="151">
        <f t="shared" si="975"/>
        <v>0</v>
      </c>
      <c r="C513" s="152">
        <f t="shared" si="976"/>
        <v>0</v>
      </c>
      <c r="D513" s="153"/>
      <c r="E513" s="153"/>
      <c r="F513" s="154">
        <f t="shared" si="977"/>
        <v>0</v>
      </c>
      <c r="G513" s="155"/>
      <c r="H513" s="155"/>
      <c r="I513" s="155"/>
      <c r="J513" s="155"/>
      <c r="K513" s="162"/>
      <c r="L513" s="155"/>
      <c r="M513" s="155"/>
      <c r="N513" s="156"/>
      <c r="O513" s="155"/>
      <c r="P513" s="63"/>
    </row>
    <row r="514" spans="1:16" ht="28.95" customHeight="1" x14ac:dyDescent="0.35">
      <c r="A514" s="158" t="s">
        <v>620</v>
      </c>
      <c r="B514" s="151">
        <f t="shared" si="975"/>
        <v>1000</v>
      </c>
      <c r="C514" s="152">
        <f t="shared" si="976"/>
        <v>0</v>
      </c>
      <c r="D514" s="153">
        <f t="shared" ref="D514" si="1090">+D515</f>
        <v>0</v>
      </c>
      <c r="E514" s="153">
        <f t="shared" ref="E514" si="1091">+E515</f>
        <v>0</v>
      </c>
      <c r="F514" s="154">
        <f t="shared" si="977"/>
        <v>0</v>
      </c>
      <c r="G514" s="155">
        <f t="shared" ref="G514" si="1092">+G515</f>
        <v>0</v>
      </c>
      <c r="H514" s="155">
        <f t="shared" ref="H514" si="1093">+H515</f>
        <v>0</v>
      </c>
      <c r="I514" s="155">
        <f t="shared" ref="I514" si="1094">+I515</f>
        <v>0</v>
      </c>
      <c r="J514" s="155">
        <f t="shared" ref="J514" si="1095">+J515</f>
        <v>0</v>
      </c>
      <c r="K514" s="162">
        <f t="shared" ref="K514" si="1096">+K515</f>
        <v>0</v>
      </c>
      <c r="L514" s="155">
        <f>1000+L515</f>
        <v>1000</v>
      </c>
      <c r="M514" s="155">
        <f t="shared" si="1069"/>
        <v>0</v>
      </c>
      <c r="N514" s="156">
        <f>+N515</f>
        <v>0</v>
      </c>
      <c r="O514" s="155">
        <f>+O515</f>
        <v>0</v>
      </c>
      <c r="P514" s="155">
        <f>+P515</f>
        <v>0</v>
      </c>
    </row>
    <row r="515" spans="1:16" ht="15" customHeight="1" x14ac:dyDescent="0.35">
      <c r="A515" s="157" t="s">
        <v>724</v>
      </c>
      <c r="B515" s="151">
        <f t="shared" si="975"/>
        <v>0</v>
      </c>
      <c r="C515" s="152">
        <f t="shared" si="976"/>
        <v>0</v>
      </c>
      <c r="D515" s="153"/>
      <c r="E515" s="153"/>
      <c r="F515" s="154">
        <f t="shared" si="977"/>
        <v>0</v>
      </c>
      <c r="G515" s="155"/>
      <c r="H515" s="155"/>
      <c r="I515" s="155"/>
      <c r="J515" s="155"/>
      <c r="K515" s="162"/>
      <c r="L515" s="155"/>
      <c r="M515" s="155"/>
      <c r="N515" s="156"/>
      <c r="O515" s="155"/>
      <c r="P515" s="63"/>
    </row>
    <row r="516" spans="1:16" ht="28.95" customHeight="1" x14ac:dyDescent="0.35">
      <c r="A516" s="158" t="s">
        <v>722</v>
      </c>
      <c r="B516" s="151">
        <f t="shared" si="975"/>
        <v>5000</v>
      </c>
      <c r="C516" s="152">
        <f t="shared" si="976"/>
        <v>0</v>
      </c>
      <c r="D516" s="153">
        <f t="shared" ref="D516" si="1097">+D517</f>
        <v>0</v>
      </c>
      <c r="E516" s="153">
        <f t="shared" ref="E516" si="1098">+E517</f>
        <v>0</v>
      </c>
      <c r="F516" s="154">
        <f t="shared" si="977"/>
        <v>0</v>
      </c>
      <c r="G516" s="155">
        <f t="shared" ref="G516" si="1099">+G517</f>
        <v>0</v>
      </c>
      <c r="H516" s="155">
        <f t="shared" ref="H516" si="1100">+H517</f>
        <v>0</v>
      </c>
      <c r="I516" s="155">
        <f t="shared" ref="I516" si="1101">+I517</f>
        <v>0</v>
      </c>
      <c r="J516" s="155">
        <f t="shared" ref="J516" si="1102">+J517</f>
        <v>0</v>
      </c>
      <c r="K516" s="162">
        <f t="shared" ref="K516" si="1103">+K517</f>
        <v>0</v>
      </c>
      <c r="L516" s="155">
        <f>5000+L517</f>
        <v>5000</v>
      </c>
      <c r="M516" s="155">
        <f t="shared" si="1069"/>
        <v>0</v>
      </c>
      <c r="N516" s="156">
        <f>+N517</f>
        <v>0</v>
      </c>
      <c r="O516" s="155">
        <f>+O517</f>
        <v>0</v>
      </c>
      <c r="P516" s="155">
        <f>+P517</f>
        <v>0</v>
      </c>
    </row>
    <row r="517" spans="1:16" ht="15" customHeight="1" x14ac:dyDescent="0.35">
      <c r="A517" s="157" t="s">
        <v>724</v>
      </c>
      <c r="B517" s="151">
        <f t="shared" si="975"/>
        <v>0</v>
      </c>
      <c r="C517" s="152">
        <f t="shared" si="976"/>
        <v>0</v>
      </c>
      <c r="D517" s="153"/>
      <c r="E517" s="153"/>
      <c r="F517" s="154">
        <f t="shared" si="977"/>
        <v>0</v>
      </c>
      <c r="G517" s="155"/>
      <c r="H517" s="155"/>
      <c r="I517" s="155"/>
      <c r="J517" s="155"/>
      <c r="K517" s="162"/>
      <c r="L517" s="155"/>
      <c r="M517" s="155"/>
      <c r="N517" s="156"/>
      <c r="O517" s="155"/>
      <c r="P517" s="63"/>
    </row>
    <row r="518" spans="1:16" ht="32.4" customHeight="1" x14ac:dyDescent="0.35">
      <c r="A518" s="158" t="s">
        <v>489</v>
      </c>
      <c r="B518" s="151">
        <f t="shared" si="975"/>
        <v>15800</v>
      </c>
      <c r="C518" s="152">
        <f t="shared" si="976"/>
        <v>0</v>
      </c>
      <c r="D518" s="153">
        <f t="shared" ref="D518" si="1104">+D519</f>
        <v>0</v>
      </c>
      <c r="E518" s="153">
        <f t="shared" ref="E518" si="1105">+E519</f>
        <v>0</v>
      </c>
      <c r="F518" s="154">
        <f t="shared" si="977"/>
        <v>15800</v>
      </c>
      <c r="G518" s="155">
        <f t="shared" ref="G518" si="1106">+G519</f>
        <v>0</v>
      </c>
      <c r="H518" s="155">
        <f>15800+H519</f>
        <v>15800</v>
      </c>
      <c r="I518" s="155">
        <f t="shared" ref="I518" si="1107">+I519</f>
        <v>0</v>
      </c>
      <c r="J518" s="155">
        <f t="shared" ref="J518" si="1108">+J519</f>
        <v>0</v>
      </c>
      <c r="K518" s="162">
        <f t="shared" ref="K518" si="1109">+K519</f>
        <v>0</v>
      </c>
      <c r="L518" s="155">
        <f t="shared" si="1069"/>
        <v>0</v>
      </c>
      <c r="M518" s="155">
        <f t="shared" si="1069"/>
        <v>0</v>
      </c>
      <c r="N518" s="156">
        <f>+N519</f>
        <v>0</v>
      </c>
      <c r="O518" s="155">
        <f>+O519</f>
        <v>0</v>
      </c>
      <c r="P518" s="155">
        <f>+P519</f>
        <v>0</v>
      </c>
    </row>
    <row r="519" spans="1:16" ht="15" customHeight="1" x14ac:dyDescent="0.35">
      <c r="A519" s="157" t="s">
        <v>724</v>
      </c>
      <c r="B519" s="151">
        <f t="shared" si="975"/>
        <v>0</v>
      </c>
      <c r="C519" s="152">
        <f t="shared" si="976"/>
        <v>0</v>
      </c>
      <c r="D519" s="153"/>
      <c r="E519" s="153"/>
      <c r="F519" s="154">
        <f t="shared" si="977"/>
        <v>0</v>
      </c>
      <c r="G519" s="155"/>
      <c r="H519" s="155"/>
      <c r="I519" s="155"/>
      <c r="J519" s="155"/>
      <c r="K519" s="162"/>
      <c r="L519" s="155"/>
      <c r="M519" s="155"/>
      <c r="N519" s="156"/>
      <c r="O519" s="155"/>
      <c r="P519" s="63"/>
    </row>
    <row r="520" spans="1:16" ht="23.25" customHeight="1" x14ac:dyDescent="0.35">
      <c r="A520" s="158" t="s">
        <v>108</v>
      </c>
      <c r="B520" s="151">
        <f t="shared" si="975"/>
        <v>90711</v>
      </c>
      <c r="C520" s="152">
        <f t="shared" si="976"/>
        <v>0</v>
      </c>
      <c r="D520" s="153">
        <f t="shared" ref="D520" si="1110">+D521</f>
        <v>0</v>
      </c>
      <c r="E520" s="153">
        <f t="shared" ref="E520" si="1111">+E521</f>
        <v>0</v>
      </c>
      <c r="F520" s="154">
        <f t="shared" si="977"/>
        <v>0</v>
      </c>
      <c r="G520" s="155">
        <f t="shared" ref="G520" si="1112">+G521</f>
        <v>0</v>
      </c>
      <c r="H520" s="155">
        <f>+H521</f>
        <v>0</v>
      </c>
      <c r="I520" s="155">
        <f t="shared" ref="I520" si="1113">+I521</f>
        <v>0</v>
      </c>
      <c r="J520" s="155">
        <f t="shared" ref="J520" si="1114">+J521</f>
        <v>0</v>
      </c>
      <c r="K520" s="162">
        <f t="shared" ref="K520" si="1115">+K521</f>
        <v>0</v>
      </c>
      <c r="L520" s="155">
        <f t="shared" ref="L520" si="1116">+L521</f>
        <v>0</v>
      </c>
      <c r="M520" s="155">
        <f t="shared" ref="M520" si="1117">+M521</f>
        <v>0</v>
      </c>
      <c r="N520" s="156">
        <f>100000+N521</f>
        <v>90711</v>
      </c>
      <c r="O520" s="155">
        <f>+O521</f>
        <v>0</v>
      </c>
      <c r="P520" s="155">
        <f>+P521</f>
        <v>0</v>
      </c>
    </row>
    <row r="521" spans="1:16" ht="15" customHeight="1" x14ac:dyDescent="0.35">
      <c r="A521" s="157" t="s">
        <v>724</v>
      </c>
      <c r="B521" s="151">
        <f t="shared" si="975"/>
        <v>-9289</v>
      </c>
      <c r="C521" s="152">
        <f t="shared" si="976"/>
        <v>0</v>
      </c>
      <c r="D521" s="153"/>
      <c r="E521" s="153"/>
      <c r="F521" s="154">
        <f t="shared" si="977"/>
        <v>0</v>
      </c>
      <c r="G521" s="155"/>
      <c r="H521" s="155"/>
      <c r="I521" s="155"/>
      <c r="J521" s="155"/>
      <c r="K521" s="162"/>
      <c r="L521" s="155"/>
      <c r="M521" s="155"/>
      <c r="N521" s="156">
        <v>-9289</v>
      </c>
      <c r="O521" s="155"/>
      <c r="P521" s="63"/>
    </row>
    <row r="522" spans="1:16" ht="23.25" customHeight="1" x14ac:dyDescent="0.35">
      <c r="A522" s="158" t="s">
        <v>609</v>
      </c>
      <c r="B522" s="151">
        <f t="shared" si="975"/>
        <v>129954</v>
      </c>
      <c r="C522" s="152">
        <f t="shared" si="976"/>
        <v>0</v>
      </c>
      <c r="D522" s="153">
        <f t="shared" ref="D522" si="1118">+D523</f>
        <v>0</v>
      </c>
      <c r="E522" s="153">
        <f t="shared" ref="E522" si="1119">+E523</f>
        <v>0</v>
      </c>
      <c r="F522" s="154">
        <f t="shared" si="977"/>
        <v>0</v>
      </c>
      <c r="G522" s="155">
        <f t="shared" ref="G522" si="1120">+G523</f>
        <v>0</v>
      </c>
      <c r="H522" s="155">
        <f t="shared" ref="H522" si="1121">+H523</f>
        <v>0</v>
      </c>
      <c r="I522" s="155">
        <f t="shared" ref="I522" si="1122">+I523</f>
        <v>0</v>
      </c>
      <c r="J522" s="155">
        <f t="shared" ref="J522" si="1123">+J523</f>
        <v>0</v>
      </c>
      <c r="K522" s="162">
        <f t="shared" ref="K522" si="1124">+K523</f>
        <v>0</v>
      </c>
      <c r="L522" s="155">
        <f t="shared" ref="L522" si="1125">+L523</f>
        <v>0</v>
      </c>
      <c r="M522" s="155">
        <f t="shared" ref="M522" si="1126">+M523</f>
        <v>0</v>
      </c>
      <c r="N522" s="156">
        <f>129954+N523</f>
        <v>129954</v>
      </c>
      <c r="O522" s="155">
        <f>+O523</f>
        <v>0</v>
      </c>
      <c r="P522" s="155">
        <f>+P523</f>
        <v>0</v>
      </c>
    </row>
    <row r="523" spans="1:16" ht="15" customHeight="1" x14ac:dyDescent="0.35">
      <c r="A523" s="157" t="s">
        <v>724</v>
      </c>
      <c r="B523" s="151">
        <f t="shared" si="975"/>
        <v>0</v>
      </c>
      <c r="C523" s="152">
        <f t="shared" si="976"/>
        <v>0</v>
      </c>
      <c r="D523" s="153"/>
      <c r="E523" s="153"/>
      <c r="F523" s="154">
        <f t="shared" si="977"/>
        <v>0</v>
      </c>
      <c r="G523" s="155"/>
      <c r="H523" s="155"/>
      <c r="I523" s="155"/>
      <c r="J523" s="155"/>
      <c r="K523" s="162"/>
      <c r="L523" s="155"/>
      <c r="M523" s="155"/>
      <c r="N523" s="156"/>
      <c r="O523" s="155"/>
      <c r="P523" s="63"/>
    </row>
    <row r="524" spans="1:16" ht="21.75" customHeight="1" x14ac:dyDescent="0.35">
      <c r="A524" s="158" t="s">
        <v>509</v>
      </c>
      <c r="B524" s="151">
        <f t="shared" si="975"/>
        <v>60000</v>
      </c>
      <c r="C524" s="152">
        <f t="shared" si="976"/>
        <v>0</v>
      </c>
      <c r="D524" s="153">
        <f t="shared" ref="D524" si="1127">+D525</f>
        <v>0</v>
      </c>
      <c r="E524" s="153">
        <f t="shared" ref="E524" si="1128">+E525</f>
        <v>0</v>
      </c>
      <c r="F524" s="154">
        <f t="shared" si="977"/>
        <v>0</v>
      </c>
      <c r="G524" s="155">
        <f t="shared" ref="G524" si="1129">+G525</f>
        <v>0</v>
      </c>
      <c r="H524" s="155">
        <f t="shared" ref="H524" si="1130">+H525</f>
        <v>0</v>
      </c>
      <c r="I524" s="155">
        <f t="shared" ref="I524" si="1131">+I525</f>
        <v>0</v>
      </c>
      <c r="J524" s="155">
        <f t="shared" ref="J524" si="1132">+J525</f>
        <v>0</v>
      </c>
      <c r="K524" s="162">
        <f t="shared" ref="K524" si="1133">+K525</f>
        <v>0</v>
      </c>
      <c r="L524" s="155">
        <f t="shared" ref="L524" si="1134">+L525</f>
        <v>0</v>
      </c>
      <c r="M524" s="155">
        <f t="shared" ref="M524" si="1135">+M525</f>
        <v>0</v>
      </c>
      <c r="N524" s="156">
        <f>60000+N525</f>
        <v>60000</v>
      </c>
      <c r="O524" s="155">
        <f>+O525</f>
        <v>0</v>
      </c>
      <c r="P524" s="155">
        <f>+P525</f>
        <v>0</v>
      </c>
    </row>
    <row r="525" spans="1:16" ht="15" customHeight="1" x14ac:dyDescent="0.35">
      <c r="A525" s="157" t="s">
        <v>724</v>
      </c>
      <c r="B525" s="151">
        <f t="shared" si="975"/>
        <v>0</v>
      </c>
      <c r="C525" s="152">
        <f t="shared" si="976"/>
        <v>0</v>
      </c>
      <c r="D525" s="153"/>
      <c r="E525" s="153"/>
      <c r="F525" s="154">
        <f t="shared" si="977"/>
        <v>0</v>
      </c>
      <c r="G525" s="155"/>
      <c r="H525" s="155"/>
      <c r="I525" s="155"/>
      <c r="J525" s="155"/>
      <c r="K525" s="162"/>
      <c r="L525" s="155"/>
      <c r="M525" s="155"/>
      <c r="N525" s="156"/>
      <c r="O525" s="155"/>
      <c r="P525" s="63"/>
    </row>
    <row r="526" spans="1:16" ht="33.75" customHeight="1" x14ac:dyDescent="0.35">
      <c r="A526" s="158" t="s">
        <v>746</v>
      </c>
      <c r="B526" s="151">
        <f t="shared" si="975"/>
        <v>8000</v>
      </c>
      <c r="C526" s="152">
        <f t="shared" si="976"/>
        <v>0</v>
      </c>
      <c r="D526" s="153">
        <f t="shared" ref="D526" si="1136">+D527</f>
        <v>0</v>
      </c>
      <c r="E526" s="153">
        <f t="shared" ref="E526" si="1137">+E527</f>
        <v>0</v>
      </c>
      <c r="F526" s="154">
        <f t="shared" si="977"/>
        <v>8000</v>
      </c>
      <c r="G526" s="155">
        <f t="shared" ref="G526" si="1138">+G527</f>
        <v>0</v>
      </c>
      <c r="H526" s="155">
        <f>3000+H527</f>
        <v>6500</v>
      </c>
      <c r="I526" s="155">
        <f t="shared" ref="I526" si="1139">+I527</f>
        <v>1500</v>
      </c>
      <c r="J526" s="155">
        <f t="shared" ref="J526" si="1140">+J527</f>
        <v>0</v>
      </c>
      <c r="K526" s="162">
        <f t="shared" ref="K526" si="1141">+K527</f>
        <v>0</v>
      </c>
      <c r="L526" s="155">
        <f t="shared" ref="L526" si="1142">+L527</f>
        <v>0</v>
      </c>
      <c r="M526" s="155">
        <f t="shared" ref="M526" si="1143">+M527</f>
        <v>0</v>
      </c>
      <c r="N526" s="156">
        <f>+N527</f>
        <v>0</v>
      </c>
      <c r="O526" s="155">
        <f>+O527</f>
        <v>0</v>
      </c>
      <c r="P526" s="155">
        <f>+P527</f>
        <v>0</v>
      </c>
    </row>
    <row r="527" spans="1:16" ht="15" customHeight="1" x14ac:dyDescent="0.35">
      <c r="A527" s="157" t="s">
        <v>724</v>
      </c>
      <c r="B527" s="151">
        <f t="shared" si="975"/>
        <v>5000</v>
      </c>
      <c r="C527" s="152">
        <f t="shared" si="976"/>
        <v>0</v>
      </c>
      <c r="D527" s="153"/>
      <c r="E527" s="153"/>
      <c r="F527" s="154">
        <f t="shared" si="977"/>
        <v>5000</v>
      </c>
      <c r="G527" s="155"/>
      <c r="H527" s="155">
        <v>3500</v>
      </c>
      <c r="I527" s="155">
        <v>1500</v>
      </c>
      <c r="J527" s="155"/>
      <c r="K527" s="162"/>
      <c r="L527" s="155"/>
      <c r="M527" s="155"/>
      <c r="N527" s="156"/>
      <c r="O527" s="155"/>
      <c r="P527" s="63"/>
    </row>
    <row r="528" spans="1:16" ht="37.950000000000003" customHeight="1" x14ac:dyDescent="0.35">
      <c r="A528" s="158" t="s">
        <v>772</v>
      </c>
      <c r="B528" s="151">
        <f t="shared" si="975"/>
        <v>12000</v>
      </c>
      <c r="C528" s="152">
        <f t="shared" si="976"/>
        <v>0</v>
      </c>
      <c r="D528" s="153">
        <f t="shared" ref="D528" si="1144">+D529</f>
        <v>0</v>
      </c>
      <c r="E528" s="153">
        <f t="shared" ref="E528" si="1145">+E529</f>
        <v>0</v>
      </c>
      <c r="F528" s="154">
        <f t="shared" si="977"/>
        <v>0</v>
      </c>
      <c r="G528" s="155">
        <f t="shared" ref="G528" si="1146">+G529</f>
        <v>0</v>
      </c>
      <c r="H528" s="155">
        <f>+H529</f>
        <v>0</v>
      </c>
      <c r="I528" s="155">
        <f t="shared" ref="I528" si="1147">+I529</f>
        <v>0</v>
      </c>
      <c r="J528" s="155">
        <f t="shared" ref="J528" si="1148">+J529</f>
        <v>0</v>
      </c>
      <c r="K528" s="162">
        <f t="shared" ref="K528" si="1149">+K529</f>
        <v>0</v>
      </c>
      <c r="L528" s="155">
        <f>12000+L529</f>
        <v>12000</v>
      </c>
      <c r="M528" s="155">
        <f>+M529</f>
        <v>0</v>
      </c>
      <c r="N528" s="156">
        <f>+N529</f>
        <v>0</v>
      </c>
      <c r="O528" s="155">
        <f>+O529</f>
        <v>0</v>
      </c>
      <c r="P528" s="155">
        <f>+P529</f>
        <v>0</v>
      </c>
    </row>
    <row r="529" spans="1:16" ht="15" customHeight="1" x14ac:dyDescent="0.35">
      <c r="A529" s="157" t="s">
        <v>724</v>
      </c>
      <c r="B529" s="151">
        <f t="shared" si="975"/>
        <v>0</v>
      </c>
      <c r="C529" s="152">
        <f t="shared" si="976"/>
        <v>0</v>
      </c>
      <c r="D529" s="153"/>
      <c r="E529" s="153"/>
      <c r="F529" s="154">
        <f t="shared" si="977"/>
        <v>0</v>
      </c>
      <c r="G529" s="155"/>
      <c r="H529" s="155"/>
      <c r="I529" s="155"/>
      <c r="J529" s="155"/>
      <c r="K529" s="162"/>
      <c r="L529" s="155"/>
      <c r="M529" s="155"/>
      <c r="N529" s="156"/>
      <c r="O529" s="155"/>
      <c r="P529" s="63"/>
    </row>
    <row r="530" spans="1:16" ht="63" customHeight="1" x14ac:dyDescent="0.35">
      <c r="A530" s="158" t="s">
        <v>693</v>
      </c>
      <c r="B530" s="151">
        <f t="shared" si="975"/>
        <v>786532</v>
      </c>
      <c r="C530" s="152">
        <f t="shared" si="976"/>
        <v>0</v>
      </c>
      <c r="D530" s="153">
        <f t="shared" ref="D530" si="1150">+D531</f>
        <v>0</v>
      </c>
      <c r="E530" s="153">
        <f t="shared" ref="E530" si="1151">+E531</f>
        <v>0</v>
      </c>
      <c r="F530" s="154">
        <f t="shared" si="977"/>
        <v>0</v>
      </c>
      <c r="G530" s="155">
        <f t="shared" ref="G530" si="1152">+G531</f>
        <v>0</v>
      </c>
      <c r="H530" s="155">
        <f t="shared" ref="H530" si="1153">+H531</f>
        <v>0</v>
      </c>
      <c r="I530" s="155">
        <f t="shared" ref="I530" si="1154">+I531</f>
        <v>0</v>
      </c>
      <c r="J530" s="155">
        <f t="shared" ref="J530" si="1155">+J531</f>
        <v>0</v>
      </c>
      <c r="K530" s="162">
        <f t="shared" ref="K530" si="1156">+K531</f>
        <v>0</v>
      </c>
      <c r="L530" s="155">
        <f>+L531</f>
        <v>0</v>
      </c>
      <c r="M530" s="155">
        <f>+M531</f>
        <v>0</v>
      </c>
      <c r="N530" s="156">
        <f>786532+N531</f>
        <v>786532</v>
      </c>
      <c r="O530" s="155">
        <f>+O531</f>
        <v>0</v>
      </c>
      <c r="P530" s="155">
        <f>+P531</f>
        <v>0</v>
      </c>
    </row>
    <row r="531" spans="1:16" ht="15" customHeight="1" x14ac:dyDescent="0.35">
      <c r="A531" s="157" t="s">
        <v>724</v>
      </c>
      <c r="B531" s="151">
        <f t="shared" ref="B531:B577" si="1157">SUM(C531+F531,L531,M531,N531,O531,P531)</f>
        <v>0</v>
      </c>
      <c r="C531" s="152">
        <f t="shared" ref="C531:C612" si="1158">D531+E531</f>
        <v>0</v>
      </c>
      <c r="D531" s="153"/>
      <c r="E531" s="153"/>
      <c r="F531" s="154">
        <f t="shared" ref="F531:F573" si="1159">SUM(G531,H531,I531,J531,K531)</f>
        <v>0</v>
      </c>
      <c r="G531" s="155"/>
      <c r="H531" s="155"/>
      <c r="I531" s="155"/>
      <c r="J531" s="155"/>
      <c r="K531" s="162"/>
      <c r="L531" s="155"/>
      <c r="M531" s="155"/>
      <c r="N531" s="156"/>
      <c r="O531" s="155"/>
      <c r="P531" s="63"/>
    </row>
    <row r="532" spans="1:16" ht="29.25" customHeight="1" x14ac:dyDescent="0.35">
      <c r="A532" s="158" t="s">
        <v>792</v>
      </c>
      <c r="B532" s="151">
        <f t="shared" si="1157"/>
        <v>30793</v>
      </c>
      <c r="C532" s="152">
        <f t="shared" si="1158"/>
        <v>30793</v>
      </c>
      <c r="D532" s="153">
        <f>24915+D533</f>
        <v>24915</v>
      </c>
      <c r="E532" s="153">
        <f>5878+E533</f>
        <v>5878</v>
      </c>
      <c r="F532" s="154">
        <f t="shared" si="1159"/>
        <v>0</v>
      </c>
      <c r="G532" s="155">
        <f t="shared" ref="G532" si="1160">+G533</f>
        <v>0</v>
      </c>
      <c r="H532" s="155">
        <f t="shared" ref="H532" si="1161">+H533</f>
        <v>0</v>
      </c>
      <c r="I532" s="155">
        <f t="shared" ref="I532" si="1162">+I533</f>
        <v>0</v>
      </c>
      <c r="J532" s="155">
        <f t="shared" ref="J532" si="1163">+J533</f>
        <v>0</v>
      </c>
      <c r="K532" s="162">
        <f t="shared" ref="K532" si="1164">+K533</f>
        <v>0</v>
      </c>
      <c r="L532" s="155">
        <f t="shared" ref="L532" si="1165">+L533</f>
        <v>0</v>
      </c>
      <c r="M532" s="155">
        <f t="shared" ref="M532" si="1166">+M533</f>
        <v>0</v>
      </c>
      <c r="N532" s="156">
        <f>+N533</f>
        <v>0</v>
      </c>
      <c r="O532" s="155">
        <f>+O533</f>
        <v>0</v>
      </c>
      <c r="P532" s="155">
        <f>+P533</f>
        <v>0</v>
      </c>
    </row>
    <row r="533" spans="1:16" ht="15" customHeight="1" x14ac:dyDescent="0.35">
      <c r="A533" s="157" t="s">
        <v>724</v>
      </c>
      <c r="B533" s="151">
        <f t="shared" si="1157"/>
        <v>0</v>
      </c>
      <c r="C533" s="152">
        <f t="shared" si="1158"/>
        <v>0</v>
      </c>
      <c r="D533" s="153"/>
      <c r="E533" s="153"/>
      <c r="F533" s="154">
        <f t="shared" si="1159"/>
        <v>0</v>
      </c>
      <c r="G533" s="155"/>
      <c r="H533" s="155"/>
      <c r="I533" s="155"/>
      <c r="J533" s="155"/>
      <c r="K533" s="162"/>
      <c r="L533" s="155"/>
      <c r="M533" s="155"/>
      <c r="N533" s="156"/>
      <c r="O533" s="155"/>
      <c r="P533" s="63"/>
    </row>
    <row r="534" spans="1:16" ht="53.25" customHeight="1" x14ac:dyDescent="0.35">
      <c r="A534" s="158" t="s">
        <v>703</v>
      </c>
      <c r="B534" s="151">
        <f t="shared" si="1157"/>
        <v>74878</v>
      </c>
      <c r="C534" s="152">
        <f t="shared" si="1158"/>
        <v>0</v>
      </c>
      <c r="D534" s="153">
        <f>+D535</f>
        <v>0</v>
      </c>
      <c r="E534" s="153">
        <f>+E535</f>
        <v>0</v>
      </c>
      <c r="F534" s="154">
        <f t="shared" si="1159"/>
        <v>74878</v>
      </c>
      <c r="G534" s="155">
        <f t="shared" ref="G534" si="1167">+G535</f>
        <v>0</v>
      </c>
      <c r="H534" s="155">
        <f>69878+H535</f>
        <v>69878</v>
      </c>
      <c r="I534" s="155">
        <f>5000+I535</f>
        <v>5000</v>
      </c>
      <c r="J534" s="155">
        <f t="shared" ref="J534" si="1168">+J535</f>
        <v>0</v>
      </c>
      <c r="K534" s="162">
        <f t="shared" ref="K534" si="1169">+K535</f>
        <v>0</v>
      </c>
      <c r="L534" s="155">
        <f t="shared" ref="L534" si="1170">+L535</f>
        <v>0</v>
      </c>
      <c r="M534" s="155">
        <f t="shared" ref="M534" si="1171">+M535</f>
        <v>0</v>
      </c>
      <c r="N534" s="156">
        <f>+N535</f>
        <v>0</v>
      </c>
      <c r="O534" s="155">
        <f>+O535</f>
        <v>0</v>
      </c>
      <c r="P534" s="155">
        <f>+P535</f>
        <v>0</v>
      </c>
    </row>
    <row r="535" spans="1:16" ht="15" customHeight="1" x14ac:dyDescent="0.35">
      <c r="A535" s="157" t="s">
        <v>724</v>
      </c>
      <c r="B535" s="151">
        <f t="shared" si="1157"/>
        <v>0</v>
      </c>
      <c r="C535" s="152">
        <f t="shared" si="1158"/>
        <v>0</v>
      </c>
      <c r="D535" s="153"/>
      <c r="E535" s="153"/>
      <c r="F535" s="154">
        <f t="shared" si="1159"/>
        <v>0</v>
      </c>
      <c r="G535" s="155"/>
      <c r="H535" s="155"/>
      <c r="I535" s="155"/>
      <c r="J535" s="155"/>
      <c r="K535" s="162"/>
      <c r="L535" s="155"/>
      <c r="M535" s="155"/>
      <c r="N535" s="156"/>
      <c r="O535" s="155"/>
      <c r="P535" s="63"/>
    </row>
    <row r="536" spans="1:16" ht="69" customHeight="1" x14ac:dyDescent="0.35">
      <c r="A536" s="158" t="s">
        <v>686</v>
      </c>
      <c r="B536" s="151">
        <f t="shared" si="1157"/>
        <v>53174</v>
      </c>
      <c r="C536" s="152">
        <f t="shared" si="1158"/>
        <v>0</v>
      </c>
      <c r="D536" s="153">
        <f t="shared" ref="D536" si="1172">+D537</f>
        <v>0</v>
      </c>
      <c r="E536" s="153">
        <f t="shared" ref="E536" si="1173">+E537</f>
        <v>0</v>
      </c>
      <c r="F536" s="154">
        <f t="shared" si="1159"/>
        <v>0</v>
      </c>
      <c r="G536" s="155">
        <f t="shared" ref="G536" si="1174">+G537</f>
        <v>0</v>
      </c>
      <c r="H536" s="155">
        <f>+H537</f>
        <v>0</v>
      </c>
      <c r="I536" s="155">
        <f>+I537</f>
        <v>0</v>
      </c>
      <c r="J536" s="155">
        <f t="shared" ref="J536" si="1175">+J537</f>
        <v>0</v>
      </c>
      <c r="K536" s="162">
        <f t="shared" ref="K536" si="1176">+K537</f>
        <v>0</v>
      </c>
      <c r="L536" s="155">
        <f t="shared" ref="L536" si="1177">+L537</f>
        <v>0</v>
      </c>
      <c r="M536" s="155">
        <f t="shared" ref="M536" si="1178">+M537</f>
        <v>0</v>
      </c>
      <c r="N536" s="156">
        <f>53174+N537</f>
        <v>53174</v>
      </c>
      <c r="O536" s="155">
        <f>+O537</f>
        <v>0</v>
      </c>
      <c r="P536" s="155">
        <f>+P537</f>
        <v>0</v>
      </c>
    </row>
    <row r="537" spans="1:16" ht="15" customHeight="1" x14ac:dyDescent="0.35">
      <c r="A537" s="157" t="s">
        <v>724</v>
      </c>
      <c r="B537" s="151">
        <f t="shared" si="1157"/>
        <v>0</v>
      </c>
      <c r="C537" s="152">
        <f t="shared" si="1158"/>
        <v>0</v>
      </c>
      <c r="D537" s="153"/>
      <c r="E537" s="153"/>
      <c r="F537" s="154">
        <f t="shared" si="1159"/>
        <v>0</v>
      </c>
      <c r="G537" s="155"/>
      <c r="H537" s="155"/>
      <c r="I537" s="155"/>
      <c r="J537" s="155"/>
      <c r="K537" s="162"/>
      <c r="L537" s="155"/>
      <c r="M537" s="155"/>
      <c r="N537" s="156"/>
      <c r="O537" s="155"/>
      <c r="P537" s="63"/>
    </row>
    <row r="538" spans="1:16" ht="72" customHeight="1" x14ac:dyDescent="0.35">
      <c r="A538" s="158" t="s">
        <v>687</v>
      </c>
      <c r="B538" s="151">
        <f t="shared" si="1157"/>
        <v>62867</v>
      </c>
      <c r="C538" s="152">
        <f t="shared" si="1158"/>
        <v>0</v>
      </c>
      <c r="D538" s="153">
        <f t="shared" ref="D538" si="1179">+D539</f>
        <v>0</v>
      </c>
      <c r="E538" s="153">
        <f t="shared" ref="E538" si="1180">+E539</f>
        <v>0</v>
      </c>
      <c r="F538" s="154">
        <f t="shared" si="1159"/>
        <v>0</v>
      </c>
      <c r="G538" s="155">
        <f t="shared" ref="G538" si="1181">+G539</f>
        <v>0</v>
      </c>
      <c r="H538" s="155">
        <f t="shared" ref="H538" si="1182">+H539</f>
        <v>0</v>
      </c>
      <c r="I538" s="155">
        <f t="shared" ref="I538" si="1183">+I539</f>
        <v>0</v>
      </c>
      <c r="J538" s="155">
        <f t="shared" ref="J538" si="1184">+J539</f>
        <v>0</v>
      </c>
      <c r="K538" s="162">
        <f t="shared" ref="K538" si="1185">+K539</f>
        <v>0</v>
      </c>
      <c r="L538" s="155">
        <f t="shared" ref="L538" si="1186">+L539</f>
        <v>0</v>
      </c>
      <c r="M538" s="155">
        <f t="shared" ref="M538" si="1187">+M539</f>
        <v>0</v>
      </c>
      <c r="N538" s="156">
        <f>62867+N539</f>
        <v>62867</v>
      </c>
      <c r="O538" s="155">
        <f>+O539</f>
        <v>0</v>
      </c>
      <c r="P538" s="155">
        <f>+P539</f>
        <v>0</v>
      </c>
    </row>
    <row r="539" spans="1:16" ht="15" customHeight="1" x14ac:dyDescent="0.35">
      <c r="A539" s="157" t="s">
        <v>724</v>
      </c>
      <c r="B539" s="151">
        <f t="shared" si="1157"/>
        <v>0</v>
      </c>
      <c r="C539" s="152">
        <f t="shared" si="1158"/>
        <v>0</v>
      </c>
      <c r="D539" s="153"/>
      <c r="E539" s="153"/>
      <c r="F539" s="154">
        <f t="shared" si="1159"/>
        <v>0</v>
      </c>
      <c r="G539" s="155"/>
      <c r="H539" s="155"/>
      <c r="I539" s="155"/>
      <c r="J539" s="155"/>
      <c r="K539" s="162"/>
      <c r="L539" s="155"/>
      <c r="M539" s="155"/>
      <c r="N539" s="156"/>
      <c r="O539" s="155"/>
      <c r="P539" s="63"/>
    </row>
    <row r="540" spans="1:16" ht="66" customHeight="1" x14ac:dyDescent="0.35">
      <c r="A540" s="158" t="s">
        <v>688</v>
      </c>
      <c r="B540" s="151">
        <f t="shared" si="1157"/>
        <v>40620</v>
      </c>
      <c r="C540" s="152">
        <f t="shared" si="1158"/>
        <v>0</v>
      </c>
      <c r="D540" s="153">
        <f t="shared" ref="D540" si="1188">+D541</f>
        <v>0</v>
      </c>
      <c r="E540" s="153">
        <f t="shared" ref="E540" si="1189">+E541</f>
        <v>0</v>
      </c>
      <c r="F540" s="154">
        <f t="shared" si="1159"/>
        <v>0</v>
      </c>
      <c r="G540" s="155">
        <f t="shared" ref="G540" si="1190">+G541</f>
        <v>0</v>
      </c>
      <c r="H540" s="155">
        <f t="shared" ref="H540" si="1191">+H541</f>
        <v>0</v>
      </c>
      <c r="I540" s="155">
        <f t="shared" ref="I540" si="1192">+I541</f>
        <v>0</v>
      </c>
      <c r="J540" s="155">
        <f t="shared" ref="J540" si="1193">+J541</f>
        <v>0</v>
      </c>
      <c r="K540" s="162">
        <f t="shared" ref="K540" si="1194">+K541</f>
        <v>0</v>
      </c>
      <c r="L540" s="155">
        <f t="shared" ref="L540" si="1195">+L541</f>
        <v>0</v>
      </c>
      <c r="M540" s="155">
        <f t="shared" ref="M540" si="1196">+M541</f>
        <v>0</v>
      </c>
      <c r="N540" s="156">
        <f>40620+N541</f>
        <v>40620</v>
      </c>
      <c r="O540" s="155">
        <f>+O541</f>
        <v>0</v>
      </c>
      <c r="P540" s="155">
        <f>+P541</f>
        <v>0</v>
      </c>
    </row>
    <row r="541" spans="1:16" ht="15" customHeight="1" x14ac:dyDescent="0.35">
      <c r="A541" s="157" t="s">
        <v>724</v>
      </c>
      <c r="B541" s="151">
        <f t="shared" si="1157"/>
        <v>0</v>
      </c>
      <c r="C541" s="152">
        <f t="shared" si="1158"/>
        <v>0</v>
      </c>
      <c r="D541" s="153"/>
      <c r="E541" s="153"/>
      <c r="F541" s="154">
        <f t="shared" si="1159"/>
        <v>0</v>
      </c>
      <c r="G541" s="155"/>
      <c r="H541" s="155"/>
      <c r="I541" s="155"/>
      <c r="J541" s="155"/>
      <c r="K541" s="162"/>
      <c r="L541" s="155"/>
      <c r="M541" s="155"/>
      <c r="N541" s="156"/>
      <c r="O541" s="155"/>
      <c r="P541" s="63"/>
    </row>
    <row r="542" spans="1:16" ht="66" customHeight="1" x14ac:dyDescent="0.35">
      <c r="A542" s="158" t="s">
        <v>689</v>
      </c>
      <c r="B542" s="151">
        <f t="shared" si="1157"/>
        <v>50659</v>
      </c>
      <c r="C542" s="152">
        <f t="shared" si="1158"/>
        <v>0</v>
      </c>
      <c r="D542" s="153">
        <f t="shared" ref="D542" si="1197">+D543</f>
        <v>0</v>
      </c>
      <c r="E542" s="153">
        <f t="shared" ref="E542" si="1198">+E543</f>
        <v>0</v>
      </c>
      <c r="F542" s="154">
        <f t="shared" si="1159"/>
        <v>0</v>
      </c>
      <c r="G542" s="155">
        <f t="shared" ref="G542" si="1199">+G543</f>
        <v>0</v>
      </c>
      <c r="H542" s="155">
        <f t="shared" ref="H542" si="1200">+H543</f>
        <v>0</v>
      </c>
      <c r="I542" s="155">
        <f t="shared" ref="I542" si="1201">+I543</f>
        <v>0</v>
      </c>
      <c r="J542" s="155">
        <f t="shared" ref="J542" si="1202">+J543</f>
        <v>0</v>
      </c>
      <c r="K542" s="162">
        <f t="shared" ref="K542" si="1203">+K543</f>
        <v>0</v>
      </c>
      <c r="L542" s="155">
        <f t="shared" ref="L542" si="1204">+L543</f>
        <v>0</v>
      </c>
      <c r="M542" s="155">
        <f t="shared" ref="M542" si="1205">+M543</f>
        <v>0</v>
      </c>
      <c r="N542" s="156">
        <f>50659+N543</f>
        <v>50659</v>
      </c>
      <c r="O542" s="155">
        <f>+O543</f>
        <v>0</v>
      </c>
      <c r="P542" s="155">
        <f>+P543</f>
        <v>0</v>
      </c>
    </row>
    <row r="543" spans="1:16" ht="15" customHeight="1" x14ac:dyDescent="0.35">
      <c r="A543" s="157" t="s">
        <v>724</v>
      </c>
      <c r="B543" s="151">
        <f t="shared" si="1157"/>
        <v>0</v>
      </c>
      <c r="C543" s="152">
        <f t="shared" si="1158"/>
        <v>0</v>
      </c>
      <c r="D543" s="153"/>
      <c r="E543" s="153"/>
      <c r="F543" s="154">
        <f t="shared" si="1159"/>
        <v>0</v>
      </c>
      <c r="G543" s="155"/>
      <c r="H543" s="155"/>
      <c r="I543" s="155"/>
      <c r="J543" s="155"/>
      <c r="K543" s="162"/>
      <c r="L543" s="155"/>
      <c r="M543" s="155"/>
      <c r="N543" s="156"/>
      <c r="O543" s="155"/>
      <c r="P543" s="63"/>
    </row>
    <row r="544" spans="1:16" ht="27" customHeight="1" x14ac:dyDescent="0.35">
      <c r="A544" s="158" t="s">
        <v>692</v>
      </c>
      <c r="B544" s="151">
        <f t="shared" si="1157"/>
        <v>100000</v>
      </c>
      <c r="C544" s="152">
        <f t="shared" si="1158"/>
        <v>0</v>
      </c>
      <c r="D544" s="153">
        <f t="shared" ref="D544" si="1206">+D545</f>
        <v>0</v>
      </c>
      <c r="E544" s="153">
        <f t="shared" ref="E544" si="1207">+E545</f>
        <v>0</v>
      </c>
      <c r="F544" s="154">
        <f t="shared" si="1159"/>
        <v>0</v>
      </c>
      <c r="G544" s="155">
        <f t="shared" ref="G544" si="1208">+G545</f>
        <v>0</v>
      </c>
      <c r="H544" s="155">
        <f t="shared" ref="H544" si="1209">+H545</f>
        <v>0</v>
      </c>
      <c r="I544" s="155">
        <f t="shared" ref="I544" si="1210">+I545</f>
        <v>0</v>
      </c>
      <c r="J544" s="155">
        <f t="shared" ref="J544" si="1211">+J545</f>
        <v>0</v>
      </c>
      <c r="K544" s="162">
        <f t="shared" ref="K544" si="1212">+K545</f>
        <v>0</v>
      </c>
      <c r="L544" s="155">
        <f t="shared" ref="L544" si="1213">+L545</f>
        <v>0</v>
      </c>
      <c r="M544" s="155">
        <f t="shared" ref="M544" si="1214">+M545</f>
        <v>0</v>
      </c>
      <c r="N544" s="156">
        <f>100000+N545</f>
        <v>100000</v>
      </c>
      <c r="O544" s="155">
        <f>+O545</f>
        <v>0</v>
      </c>
      <c r="P544" s="155">
        <f>+P545</f>
        <v>0</v>
      </c>
    </row>
    <row r="545" spans="1:16" ht="15" customHeight="1" x14ac:dyDescent="0.35">
      <c r="A545" s="157" t="s">
        <v>724</v>
      </c>
      <c r="B545" s="151">
        <f t="shared" si="1157"/>
        <v>0</v>
      </c>
      <c r="C545" s="152">
        <f t="shared" si="1158"/>
        <v>0</v>
      </c>
      <c r="D545" s="153"/>
      <c r="E545" s="153"/>
      <c r="F545" s="154">
        <f t="shared" si="1159"/>
        <v>0</v>
      </c>
      <c r="G545" s="155"/>
      <c r="H545" s="155"/>
      <c r="I545" s="155"/>
      <c r="J545" s="155"/>
      <c r="K545" s="162"/>
      <c r="L545" s="155"/>
      <c r="M545" s="155"/>
      <c r="N545" s="156"/>
      <c r="O545" s="155"/>
      <c r="P545" s="63"/>
    </row>
    <row r="546" spans="1:16" ht="42" customHeight="1" x14ac:dyDescent="0.35">
      <c r="A546" s="158" t="s">
        <v>706</v>
      </c>
      <c r="B546" s="151">
        <f t="shared" si="1157"/>
        <v>33528</v>
      </c>
      <c r="C546" s="152">
        <f t="shared" si="1158"/>
        <v>0</v>
      </c>
      <c r="D546" s="153">
        <f t="shared" ref="D546" si="1215">+D547</f>
        <v>0</v>
      </c>
      <c r="E546" s="153">
        <f t="shared" ref="E546" si="1216">+E547</f>
        <v>0</v>
      </c>
      <c r="F546" s="154">
        <f t="shared" si="1159"/>
        <v>33528</v>
      </c>
      <c r="G546" s="155">
        <f>23500+G547</f>
        <v>23500</v>
      </c>
      <c r="H546" s="155">
        <f>10028+H547</f>
        <v>10028</v>
      </c>
      <c r="I546" s="155">
        <f t="shared" ref="I546" si="1217">+I547</f>
        <v>0</v>
      </c>
      <c r="J546" s="155">
        <f t="shared" ref="J546" si="1218">+J547</f>
        <v>0</v>
      </c>
      <c r="K546" s="162">
        <f t="shared" ref="K546" si="1219">+K547</f>
        <v>0</v>
      </c>
      <c r="L546" s="155">
        <f t="shared" ref="L546" si="1220">+L547</f>
        <v>0</v>
      </c>
      <c r="M546" s="155">
        <f t="shared" ref="M546" si="1221">+M547</f>
        <v>0</v>
      </c>
      <c r="N546" s="156">
        <f>+N547</f>
        <v>0</v>
      </c>
      <c r="O546" s="155">
        <f>+O547</f>
        <v>0</v>
      </c>
      <c r="P546" s="155">
        <f>+P547</f>
        <v>0</v>
      </c>
    </row>
    <row r="547" spans="1:16" ht="15" customHeight="1" x14ac:dyDescent="0.35">
      <c r="A547" s="157" t="s">
        <v>724</v>
      </c>
      <c r="B547" s="151">
        <f t="shared" si="1157"/>
        <v>0</v>
      </c>
      <c r="C547" s="152">
        <f t="shared" si="1158"/>
        <v>0</v>
      </c>
      <c r="D547" s="153"/>
      <c r="E547" s="153"/>
      <c r="F547" s="154">
        <f t="shared" si="1159"/>
        <v>0</v>
      </c>
      <c r="G547" s="155"/>
      <c r="H547" s="155"/>
      <c r="I547" s="155"/>
      <c r="J547" s="155"/>
      <c r="K547" s="162"/>
      <c r="L547" s="155"/>
      <c r="M547" s="155"/>
      <c r="N547" s="156"/>
      <c r="O547" s="155"/>
      <c r="P547" s="63"/>
    </row>
    <row r="548" spans="1:16" ht="26.4" customHeight="1" x14ac:dyDescent="0.35">
      <c r="A548" s="158" t="s">
        <v>546</v>
      </c>
      <c r="B548" s="151">
        <f t="shared" si="1157"/>
        <v>30000</v>
      </c>
      <c r="C548" s="152">
        <f t="shared" si="1158"/>
        <v>30000</v>
      </c>
      <c r="D548" s="153">
        <f>24274+D549</f>
        <v>24274</v>
      </c>
      <c r="E548" s="153">
        <f>5726+E549</f>
        <v>5726</v>
      </c>
      <c r="F548" s="154">
        <f t="shared" si="1159"/>
        <v>0</v>
      </c>
      <c r="G548" s="155">
        <f>+G549</f>
        <v>0</v>
      </c>
      <c r="H548" s="155">
        <f>+H549</f>
        <v>0</v>
      </c>
      <c r="I548" s="155">
        <f t="shared" ref="I548" si="1222">+I549</f>
        <v>0</v>
      </c>
      <c r="J548" s="155">
        <f t="shared" ref="J548" si="1223">+J549</f>
        <v>0</v>
      </c>
      <c r="K548" s="162">
        <f t="shared" ref="K548" si="1224">+K549</f>
        <v>0</v>
      </c>
      <c r="L548" s="155">
        <f t="shared" ref="L548" si="1225">+L549</f>
        <v>0</v>
      </c>
      <c r="M548" s="155">
        <f t="shared" ref="M548" si="1226">+M549</f>
        <v>0</v>
      </c>
      <c r="N548" s="156">
        <f>+N549</f>
        <v>0</v>
      </c>
      <c r="O548" s="155">
        <f>+O549</f>
        <v>0</v>
      </c>
      <c r="P548" s="155">
        <f>+P549</f>
        <v>0</v>
      </c>
    </row>
    <row r="549" spans="1:16" ht="15" customHeight="1" x14ac:dyDescent="0.35">
      <c r="A549" s="157" t="s">
        <v>724</v>
      </c>
      <c r="B549" s="151">
        <f t="shared" si="1157"/>
        <v>0</v>
      </c>
      <c r="C549" s="152">
        <f t="shared" si="1158"/>
        <v>0</v>
      </c>
      <c r="D549" s="153"/>
      <c r="E549" s="153"/>
      <c r="F549" s="154">
        <f t="shared" si="1159"/>
        <v>0</v>
      </c>
      <c r="G549" s="155"/>
      <c r="H549" s="155"/>
      <c r="I549" s="155"/>
      <c r="J549" s="155"/>
      <c r="K549" s="162"/>
      <c r="L549" s="155"/>
      <c r="M549" s="155"/>
      <c r="N549" s="156"/>
      <c r="O549" s="155"/>
      <c r="P549" s="63"/>
    </row>
    <row r="550" spans="1:16" ht="30" customHeight="1" x14ac:dyDescent="0.35">
      <c r="A550" s="158" t="s">
        <v>690</v>
      </c>
      <c r="B550" s="151">
        <f t="shared" si="1157"/>
        <v>132115</v>
      </c>
      <c r="C550" s="152">
        <f t="shared" si="1158"/>
        <v>0</v>
      </c>
      <c r="D550" s="153">
        <f>+D551</f>
        <v>0</v>
      </c>
      <c r="E550" s="153">
        <f>+E551</f>
        <v>0</v>
      </c>
      <c r="F550" s="154">
        <f t="shared" si="1159"/>
        <v>0</v>
      </c>
      <c r="G550" s="155">
        <f t="shared" ref="G550" si="1227">+G551</f>
        <v>0</v>
      </c>
      <c r="H550" s="155">
        <f t="shared" ref="H550" si="1228">+H551</f>
        <v>0</v>
      </c>
      <c r="I550" s="155">
        <f t="shared" ref="I550" si="1229">+I551</f>
        <v>0</v>
      </c>
      <c r="J550" s="155">
        <f t="shared" ref="J550" si="1230">+J551</f>
        <v>0</v>
      </c>
      <c r="K550" s="162">
        <f t="shared" ref="K550" si="1231">+K551</f>
        <v>0</v>
      </c>
      <c r="L550" s="155">
        <f t="shared" ref="L550" si="1232">+L551</f>
        <v>0</v>
      </c>
      <c r="M550" s="155">
        <f t="shared" ref="M550" si="1233">+M551</f>
        <v>0</v>
      </c>
      <c r="N550" s="156">
        <f>132115+N551</f>
        <v>132115</v>
      </c>
      <c r="O550" s="155">
        <f>+O551</f>
        <v>0</v>
      </c>
      <c r="P550" s="155">
        <f>+P551</f>
        <v>0</v>
      </c>
    </row>
    <row r="551" spans="1:16" ht="15" customHeight="1" x14ac:dyDescent="0.35">
      <c r="A551" s="157" t="s">
        <v>724</v>
      </c>
      <c r="B551" s="151">
        <f t="shared" si="1157"/>
        <v>0</v>
      </c>
      <c r="C551" s="152">
        <f t="shared" si="1158"/>
        <v>0</v>
      </c>
      <c r="D551" s="153"/>
      <c r="E551" s="153"/>
      <c r="F551" s="154">
        <f t="shared" si="1159"/>
        <v>0</v>
      </c>
      <c r="G551" s="155"/>
      <c r="H551" s="155"/>
      <c r="I551" s="155"/>
      <c r="J551" s="155"/>
      <c r="K551" s="162"/>
      <c r="L551" s="155"/>
      <c r="M551" s="155"/>
      <c r="N551" s="156"/>
      <c r="O551" s="155"/>
      <c r="P551" s="63"/>
    </row>
    <row r="552" spans="1:16" ht="46.5" customHeight="1" x14ac:dyDescent="0.35">
      <c r="A552" s="158" t="s">
        <v>610</v>
      </c>
      <c r="B552" s="151">
        <f t="shared" si="1157"/>
        <v>398362</v>
      </c>
      <c r="C552" s="152">
        <f t="shared" si="1158"/>
        <v>0</v>
      </c>
      <c r="D552" s="153">
        <f t="shared" ref="D552" si="1234">+D553</f>
        <v>0</v>
      </c>
      <c r="E552" s="153">
        <f t="shared" ref="E552" si="1235">+E553</f>
        <v>0</v>
      </c>
      <c r="F552" s="154">
        <f t="shared" si="1159"/>
        <v>0</v>
      </c>
      <c r="G552" s="155">
        <f t="shared" ref="G552" si="1236">+G553</f>
        <v>0</v>
      </c>
      <c r="H552" s="155">
        <f t="shared" ref="H552" si="1237">+H553</f>
        <v>0</v>
      </c>
      <c r="I552" s="155">
        <f t="shared" ref="I552" si="1238">+I553</f>
        <v>0</v>
      </c>
      <c r="J552" s="155">
        <f t="shared" ref="J552" si="1239">+J553</f>
        <v>0</v>
      </c>
      <c r="K552" s="162">
        <f t="shared" ref="K552" si="1240">+K553</f>
        <v>0</v>
      </c>
      <c r="L552" s="155">
        <f t="shared" ref="L552" si="1241">+L553</f>
        <v>0</v>
      </c>
      <c r="M552" s="155">
        <f t="shared" ref="M552" si="1242">+M553</f>
        <v>0</v>
      </c>
      <c r="N552" s="156">
        <f>398362+N553</f>
        <v>398362</v>
      </c>
      <c r="O552" s="155">
        <f>+O553</f>
        <v>0</v>
      </c>
      <c r="P552" s="155">
        <f>+P553</f>
        <v>0</v>
      </c>
    </row>
    <row r="553" spans="1:16" ht="15" customHeight="1" x14ac:dyDescent="0.35">
      <c r="A553" s="157" t="s">
        <v>724</v>
      </c>
      <c r="B553" s="151">
        <f t="shared" si="1157"/>
        <v>0</v>
      </c>
      <c r="C553" s="152">
        <f t="shared" si="1158"/>
        <v>0</v>
      </c>
      <c r="D553" s="153"/>
      <c r="E553" s="153"/>
      <c r="F553" s="154">
        <f t="shared" si="1159"/>
        <v>0</v>
      </c>
      <c r="G553" s="155"/>
      <c r="H553" s="155"/>
      <c r="I553" s="155"/>
      <c r="J553" s="155"/>
      <c r="K553" s="162"/>
      <c r="L553" s="155"/>
      <c r="M553" s="155"/>
      <c r="N553" s="156"/>
      <c r="O553" s="155"/>
      <c r="P553" s="63"/>
    </row>
    <row r="554" spans="1:16" ht="34.5" customHeight="1" x14ac:dyDescent="0.35">
      <c r="A554" s="158" t="s">
        <v>619</v>
      </c>
      <c r="B554" s="151">
        <f t="shared" si="1157"/>
        <v>13194</v>
      </c>
      <c r="C554" s="152">
        <f t="shared" si="1158"/>
        <v>0</v>
      </c>
      <c r="D554" s="153">
        <f t="shared" ref="D554" si="1243">+D555</f>
        <v>0</v>
      </c>
      <c r="E554" s="153">
        <f t="shared" ref="E554" si="1244">+E555</f>
        <v>0</v>
      </c>
      <c r="F554" s="154">
        <f t="shared" si="1159"/>
        <v>5194</v>
      </c>
      <c r="G554" s="155">
        <f t="shared" ref="G554" si="1245">+G555</f>
        <v>0</v>
      </c>
      <c r="H554" s="155">
        <f>800+H555</f>
        <v>800</v>
      </c>
      <c r="I554" s="155">
        <f>4394+I555</f>
        <v>4394</v>
      </c>
      <c r="J554" s="155">
        <f t="shared" ref="J554" si="1246">+J555</f>
        <v>0</v>
      </c>
      <c r="K554" s="162">
        <f t="shared" ref="K554" si="1247">+K555</f>
        <v>0</v>
      </c>
      <c r="L554" s="155">
        <f t="shared" ref="L554" si="1248">+L555</f>
        <v>0</v>
      </c>
      <c r="M554" s="155">
        <f t="shared" ref="M554" si="1249">+M555</f>
        <v>0</v>
      </c>
      <c r="N554" s="156">
        <f>8000+N555</f>
        <v>8000</v>
      </c>
      <c r="O554" s="155">
        <f>+O555</f>
        <v>0</v>
      </c>
      <c r="P554" s="155">
        <f>+P555</f>
        <v>0</v>
      </c>
    </row>
    <row r="555" spans="1:16" ht="15" customHeight="1" x14ac:dyDescent="0.35">
      <c r="A555" s="157" t="s">
        <v>724</v>
      </c>
      <c r="B555" s="151">
        <f t="shared" si="1157"/>
        <v>0</v>
      </c>
      <c r="C555" s="152">
        <f t="shared" si="1158"/>
        <v>0</v>
      </c>
      <c r="D555" s="153"/>
      <c r="E555" s="153"/>
      <c r="F555" s="154">
        <f t="shared" si="1159"/>
        <v>0</v>
      </c>
      <c r="G555" s="155"/>
      <c r="H555" s="155"/>
      <c r="I555" s="155"/>
      <c r="J555" s="155"/>
      <c r="K555" s="162"/>
      <c r="L555" s="155"/>
      <c r="M555" s="155"/>
      <c r="N555" s="156"/>
      <c r="O555" s="155"/>
      <c r="P555" s="63"/>
    </row>
    <row r="556" spans="1:16" ht="42" customHeight="1" x14ac:dyDescent="0.35">
      <c r="A556" s="150" t="s">
        <v>824</v>
      </c>
      <c r="B556" s="151">
        <f t="shared" si="1157"/>
        <v>7351</v>
      </c>
      <c r="C556" s="152">
        <f t="shared" si="1158"/>
        <v>0</v>
      </c>
      <c r="D556" s="153">
        <f t="shared" ref="D556" si="1250">+D557</f>
        <v>0</v>
      </c>
      <c r="E556" s="153">
        <f t="shared" ref="E556" si="1251">+E557</f>
        <v>0</v>
      </c>
      <c r="F556" s="154">
        <f t="shared" si="1159"/>
        <v>7351</v>
      </c>
      <c r="G556" s="155">
        <f t="shared" ref="G556" si="1252">+G557</f>
        <v>0</v>
      </c>
      <c r="H556" s="155">
        <f>7351+H557</f>
        <v>7351</v>
      </c>
      <c r="I556" s="155">
        <f>+I557</f>
        <v>0</v>
      </c>
      <c r="J556" s="155">
        <f t="shared" ref="J556" si="1253">+J557</f>
        <v>0</v>
      </c>
      <c r="K556" s="162">
        <f t="shared" ref="K556" si="1254">+K557</f>
        <v>0</v>
      </c>
      <c r="L556" s="155">
        <f t="shared" ref="L556" si="1255">+L557</f>
        <v>0</v>
      </c>
      <c r="M556" s="155">
        <f t="shared" ref="M556" si="1256">+M557</f>
        <v>0</v>
      </c>
      <c r="N556" s="156">
        <f>+N557</f>
        <v>0</v>
      </c>
      <c r="O556" s="155">
        <f>+O557</f>
        <v>0</v>
      </c>
      <c r="P556" s="155">
        <f>+P557</f>
        <v>0</v>
      </c>
    </row>
    <row r="557" spans="1:16" ht="15" customHeight="1" x14ac:dyDescent="0.35">
      <c r="A557" s="157" t="s">
        <v>724</v>
      </c>
      <c r="B557" s="151">
        <f t="shared" si="1157"/>
        <v>0</v>
      </c>
      <c r="C557" s="152">
        <f t="shared" si="1158"/>
        <v>0</v>
      </c>
      <c r="D557" s="153"/>
      <c r="E557" s="153"/>
      <c r="F557" s="154">
        <f t="shared" si="1159"/>
        <v>0</v>
      </c>
      <c r="G557" s="155"/>
      <c r="H557" s="155"/>
      <c r="I557" s="155"/>
      <c r="J557" s="155"/>
      <c r="K557" s="162"/>
      <c r="L557" s="155"/>
      <c r="M557" s="155"/>
      <c r="N557" s="156"/>
      <c r="O557" s="155"/>
      <c r="P557" s="63"/>
    </row>
    <row r="558" spans="1:16" ht="42" customHeight="1" x14ac:dyDescent="0.35">
      <c r="A558" s="150" t="s">
        <v>698</v>
      </c>
      <c r="B558" s="151">
        <f t="shared" si="1157"/>
        <v>67265</v>
      </c>
      <c r="C558" s="152">
        <f t="shared" si="1158"/>
        <v>0</v>
      </c>
      <c r="D558" s="153">
        <f t="shared" ref="D558" si="1257">+D559</f>
        <v>0</v>
      </c>
      <c r="E558" s="153">
        <f t="shared" ref="E558" si="1258">+E559</f>
        <v>0</v>
      </c>
      <c r="F558" s="154">
        <f t="shared" si="1159"/>
        <v>58985</v>
      </c>
      <c r="G558" s="155">
        <f>44156+G559</f>
        <v>44156</v>
      </c>
      <c r="H558" s="155">
        <f>14829+H559</f>
        <v>14829</v>
      </c>
      <c r="I558" s="155">
        <f t="shared" ref="I558" si="1259">+I559</f>
        <v>0</v>
      </c>
      <c r="J558" s="155">
        <f t="shared" ref="J558" si="1260">+J559</f>
        <v>0</v>
      </c>
      <c r="K558" s="162">
        <f t="shared" ref="K558" si="1261">+K559</f>
        <v>0</v>
      </c>
      <c r="L558" s="155">
        <f t="shared" ref="L558" si="1262">+L559</f>
        <v>0</v>
      </c>
      <c r="M558" s="155">
        <f t="shared" ref="M558" si="1263">+M559</f>
        <v>0</v>
      </c>
      <c r="N558" s="156">
        <f>+N559</f>
        <v>0</v>
      </c>
      <c r="O558" s="155">
        <f>+O559</f>
        <v>0</v>
      </c>
      <c r="P558" s="63">
        <f>8280+P559</f>
        <v>8280</v>
      </c>
    </row>
    <row r="559" spans="1:16" ht="15" customHeight="1" x14ac:dyDescent="0.35">
      <c r="A559" s="157" t="s">
        <v>724</v>
      </c>
      <c r="B559" s="151">
        <f t="shared" si="1157"/>
        <v>0</v>
      </c>
      <c r="C559" s="152">
        <f t="shared" si="1158"/>
        <v>0</v>
      </c>
      <c r="D559" s="153"/>
      <c r="E559" s="153"/>
      <c r="F559" s="154">
        <f t="shared" si="1159"/>
        <v>0</v>
      </c>
      <c r="G559" s="155"/>
      <c r="H559" s="155"/>
      <c r="I559" s="155"/>
      <c r="J559" s="155"/>
      <c r="K559" s="162"/>
      <c r="L559" s="155"/>
      <c r="M559" s="155"/>
      <c r="N559" s="156"/>
      <c r="O559" s="155"/>
      <c r="P559" s="63"/>
    </row>
    <row r="560" spans="1:16" ht="37.5" customHeight="1" x14ac:dyDescent="0.35">
      <c r="A560" s="150" t="s">
        <v>563</v>
      </c>
      <c r="B560" s="151">
        <f t="shared" si="1157"/>
        <v>901146</v>
      </c>
      <c r="C560" s="152">
        <f t="shared" si="1158"/>
        <v>0</v>
      </c>
      <c r="D560" s="153">
        <f t="shared" ref="D560" si="1264">+D561</f>
        <v>0</v>
      </c>
      <c r="E560" s="153">
        <f t="shared" ref="E560" si="1265">+E561</f>
        <v>0</v>
      </c>
      <c r="F560" s="154">
        <f t="shared" si="1159"/>
        <v>0</v>
      </c>
      <c r="G560" s="155">
        <f>+G561</f>
        <v>0</v>
      </c>
      <c r="H560" s="155">
        <f>+H561</f>
        <v>0</v>
      </c>
      <c r="I560" s="155">
        <f t="shared" ref="I560" si="1266">+I561</f>
        <v>0</v>
      </c>
      <c r="J560" s="155">
        <f t="shared" ref="J560" si="1267">+J561</f>
        <v>0</v>
      </c>
      <c r="K560" s="162">
        <f t="shared" ref="K560" si="1268">+K561</f>
        <v>0</v>
      </c>
      <c r="L560" s="155">
        <f t="shared" ref="L560" si="1269">+L561</f>
        <v>0</v>
      </c>
      <c r="M560" s="155">
        <f t="shared" ref="M560" si="1270">+M561</f>
        <v>0</v>
      </c>
      <c r="N560" s="156">
        <f>901146+N561</f>
        <v>901146</v>
      </c>
      <c r="O560" s="155">
        <f>+O561</f>
        <v>0</v>
      </c>
      <c r="P560" s="155">
        <f>+P561</f>
        <v>0</v>
      </c>
    </row>
    <row r="561" spans="1:16" ht="15" customHeight="1" x14ac:dyDescent="0.35">
      <c r="A561" s="157" t="s">
        <v>724</v>
      </c>
      <c r="B561" s="151">
        <f t="shared" si="1157"/>
        <v>0</v>
      </c>
      <c r="C561" s="152">
        <f t="shared" si="1158"/>
        <v>0</v>
      </c>
      <c r="D561" s="153"/>
      <c r="E561" s="153"/>
      <c r="F561" s="154">
        <f t="shared" si="1159"/>
        <v>0</v>
      </c>
      <c r="G561" s="155"/>
      <c r="H561" s="155"/>
      <c r="I561" s="155"/>
      <c r="J561" s="155"/>
      <c r="K561" s="162"/>
      <c r="L561" s="155"/>
      <c r="M561" s="155"/>
      <c r="N561" s="156"/>
      <c r="O561" s="155"/>
      <c r="P561" s="63"/>
    </row>
    <row r="562" spans="1:16" ht="99" customHeight="1" x14ac:dyDescent="0.35">
      <c r="A562" s="150" t="s">
        <v>825</v>
      </c>
      <c r="B562" s="151">
        <f t="shared" si="1157"/>
        <v>178413</v>
      </c>
      <c r="C562" s="152">
        <f t="shared" si="1158"/>
        <v>0</v>
      </c>
      <c r="D562" s="153">
        <f t="shared" ref="D562" si="1271">+D563</f>
        <v>0</v>
      </c>
      <c r="E562" s="153">
        <f t="shared" ref="E562" si="1272">+E563</f>
        <v>0</v>
      </c>
      <c r="F562" s="154">
        <f t="shared" si="1159"/>
        <v>0</v>
      </c>
      <c r="G562" s="155">
        <f t="shared" ref="G562" si="1273">+G563</f>
        <v>0</v>
      </c>
      <c r="H562" s="155">
        <f t="shared" ref="H562" si="1274">+H563</f>
        <v>0</v>
      </c>
      <c r="I562" s="155">
        <f t="shared" ref="I562" si="1275">+I563</f>
        <v>0</v>
      </c>
      <c r="J562" s="155">
        <f t="shared" ref="J562" si="1276">+J563</f>
        <v>0</v>
      </c>
      <c r="K562" s="162">
        <f t="shared" ref="K562" si="1277">+K563</f>
        <v>0</v>
      </c>
      <c r="L562" s="155">
        <f t="shared" ref="L562" si="1278">+L563</f>
        <v>0</v>
      </c>
      <c r="M562" s="155">
        <f t="shared" ref="M562" si="1279">+M563</f>
        <v>0</v>
      </c>
      <c r="N562" s="156">
        <f>178413+N563</f>
        <v>178413</v>
      </c>
      <c r="O562" s="155">
        <f>+O563</f>
        <v>0</v>
      </c>
      <c r="P562" s="155">
        <f>+P563</f>
        <v>0</v>
      </c>
    </row>
    <row r="563" spans="1:16" ht="15" customHeight="1" x14ac:dyDescent="0.35">
      <c r="A563" s="157" t="s">
        <v>724</v>
      </c>
      <c r="B563" s="151">
        <f t="shared" si="1157"/>
        <v>0</v>
      </c>
      <c r="C563" s="152">
        <f t="shared" si="1158"/>
        <v>0</v>
      </c>
      <c r="D563" s="153"/>
      <c r="E563" s="153"/>
      <c r="F563" s="154">
        <f t="shared" si="1159"/>
        <v>0</v>
      </c>
      <c r="G563" s="155"/>
      <c r="H563" s="155"/>
      <c r="I563" s="155"/>
      <c r="J563" s="155"/>
      <c r="K563" s="162"/>
      <c r="L563" s="155"/>
      <c r="M563" s="155"/>
      <c r="N563" s="156"/>
      <c r="O563" s="155"/>
      <c r="P563" s="63"/>
    </row>
    <row r="564" spans="1:16" ht="42" customHeight="1" x14ac:dyDescent="0.35">
      <c r="A564" s="150" t="s">
        <v>683</v>
      </c>
      <c r="B564" s="151">
        <f t="shared" si="1157"/>
        <v>1807381</v>
      </c>
      <c r="C564" s="152">
        <f t="shared" si="1158"/>
        <v>0</v>
      </c>
      <c r="D564" s="153">
        <f t="shared" ref="D564" si="1280">+D565</f>
        <v>0</v>
      </c>
      <c r="E564" s="153">
        <f t="shared" ref="E564" si="1281">+E565</f>
        <v>0</v>
      </c>
      <c r="F564" s="154">
        <f t="shared" si="1159"/>
        <v>0</v>
      </c>
      <c r="G564" s="155">
        <f t="shared" ref="G564" si="1282">+G565</f>
        <v>0</v>
      </c>
      <c r="H564" s="155">
        <f t="shared" ref="H564" si="1283">+H565</f>
        <v>0</v>
      </c>
      <c r="I564" s="155">
        <f t="shared" ref="I564" si="1284">+I565</f>
        <v>0</v>
      </c>
      <c r="J564" s="155">
        <f t="shared" ref="J564" si="1285">+J565</f>
        <v>0</v>
      </c>
      <c r="K564" s="162">
        <f t="shared" ref="K564" si="1286">+K565</f>
        <v>0</v>
      </c>
      <c r="L564" s="155">
        <f t="shared" ref="L564" si="1287">+L565</f>
        <v>310525</v>
      </c>
      <c r="M564" s="155">
        <f t="shared" ref="M564" si="1288">+M565</f>
        <v>0</v>
      </c>
      <c r="N564" s="156">
        <f>1807381+N565</f>
        <v>1496856</v>
      </c>
      <c r="O564" s="155">
        <f>+O565</f>
        <v>0</v>
      </c>
      <c r="P564" s="155">
        <f>+P565</f>
        <v>0</v>
      </c>
    </row>
    <row r="565" spans="1:16" ht="15" customHeight="1" x14ac:dyDescent="0.35">
      <c r="A565" s="157" t="s">
        <v>724</v>
      </c>
      <c r="B565" s="151">
        <f t="shared" si="1157"/>
        <v>0</v>
      </c>
      <c r="C565" s="152">
        <f t="shared" si="1158"/>
        <v>0</v>
      </c>
      <c r="D565" s="153"/>
      <c r="E565" s="153"/>
      <c r="F565" s="154">
        <f t="shared" si="1159"/>
        <v>0</v>
      </c>
      <c r="G565" s="155"/>
      <c r="H565" s="155"/>
      <c r="I565" s="155"/>
      <c r="J565" s="155"/>
      <c r="K565" s="162"/>
      <c r="L565" s="155">
        <v>310525</v>
      </c>
      <c r="M565" s="155"/>
      <c r="N565" s="156">
        <v>-310525</v>
      </c>
      <c r="O565" s="155"/>
      <c r="P565" s="63"/>
    </row>
    <row r="566" spans="1:16" ht="54.75" customHeight="1" x14ac:dyDescent="0.35">
      <c r="A566" s="150" t="s">
        <v>564</v>
      </c>
      <c r="B566" s="151">
        <f t="shared" si="1157"/>
        <v>131740</v>
      </c>
      <c r="C566" s="152">
        <f t="shared" si="1158"/>
        <v>0</v>
      </c>
      <c r="D566" s="153">
        <f t="shared" ref="D566" si="1289">+D567</f>
        <v>0</v>
      </c>
      <c r="E566" s="153">
        <f t="shared" ref="E566" si="1290">+E567</f>
        <v>0</v>
      </c>
      <c r="F566" s="154">
        <f t="shared" si="1159"/>
        <v>0</v>
      </c>
      <c r="G566" s="155">
        <f t="shared" ref="G566" si="1291">+G567</f>
        <v>0</v>
      </c>
      <c r="H566" s="155">
        <f t="shared" ref="H566" si="1292">+H567</f>
        <v>0</v>
      </c>
      <c r="I566" s="155">
        <f t="shared" ref="I566" si="1293">+I567</f>
        <v>0</v>
      </c>
      <c r="J566" s="155">
        <f t="shared" ref="J566" si="1294">+J567</f>
        <v>0</v>
      </c>
      <c r="K566" s="162">
        <f t="shared" ref="K566" si="1295">+K567</f>
        <v>0</v>
      </c>
      <c r="L566" s="155">
        <f t="shared" ref="L566" si="1296">+L567</f>
        <v>0</v>
      </c>
      <c r="M566" s="155">
        <f t="shared" ref="M566" si="1297">+M567</f>
        <v>0</v>
      </c>
      <c r="N566" s="156">
        <f>131740+N567</f>
        <v>131740</v>
      </c>
      <c r="O566" s="155">
        <f>+O567</f>
        <v>0</v>
      </c>
      <c r="P566" s="155">
        <f>+P567</f>
        <v>0</v>
      </c>
    </row>
    <row r="567" spans="1:16" ht="15" customHeight="1" x14ac:dyDescent="0.35">
      <c r="A567" s="157" t="s">
        <v>724</v>
      </c>
      <c r="B567" s="151">
        <f t="shared" si="1157"/>
        <v>0</v>
      </c>
      <c r="C567" s="152">
        <f t="shared" si="1158"/>
        <v>0</v>
      </c>
      <c r="D567" s="153"/>
      <c r="E567" s="153"/>
      <c r="F567" s="154">
        <f t="shared" si="1159"/>
        <v>0</v>
      </c>
      <c r="G567" s="155"/>
      <c r="H567" s="155"/>
      <c r="I567" s="155"/>
      <c r="J567" s="155"/>
      <c r="K567" s="162"/>
      <c r="L567" s="155"/>
      <c r="M567" s="155"/>
      <c r="N567" s="156"/>
      <c r="O567" s="155"/>
      <c r="P567" s="63"/>
    </row>
    <row r="568" spans="1:16" ht="36.75" customHeight="1" x14ac:dyDescent="0.35">
      <c r="A568" s="150" t="s">
        <v>621</v>
      </c>
      <c r="B568" s="151">
        <f t="shared" si="1157"/>
        <v>6000</v>
      </c>
      <c r="C568" s="152">
        <f t="shared" si="1158"/>
        <v>0</v>
      </c>
      <c r="D568" s="153">
        <f t="shared" ref="D568" si="1298">+D569</f>
        <v>0</v>
      </c>
      <c r="E568" s="153">
        <f t="shared" ref="E568" si="1299">+E569</f>
        <v>0</v>
      </c>
      <c r="F568" s="154">
        <f t="shared" si="1159"/>
        <v>0</v>
      </c>
      <c r="G568" s="155">
        <f t="shared" ref="G568" si="1300">+G569</f>
        <v>0</v>
      </c>
      <c r="H568" s="155">
        <f t="shared" ref="H568" si="1301">+H569</f>
        <v>0</v>
      </c>
      <c r="I568" s="155">
        <f t="shared" ref="I568" si="1302">+I569</f>
        <v>0</v>
      </c>
      <c r="J568" s="155">
        <f t="shared" ref="J568" si="1303">+J569</f>
        <v>0</v>
      </c>
      <c r="K568" s="162">
        <f t="shared" ref="K568" si="1304">+K569</f>
        <v>0</v>
      </c>
      <c r="L568" s="155">
        <f>5000+L569</f>
        <v>6000</v>
      </c>
      <c r="M568" s="166">
        <f>+M569</f>
        <v>0</v>
      </c>
      <c r="N568" s="156">
        <f>+N569</f>
        <v>0</v>
      </c>
      <c r="O568" s="155">
        <f>+O569</f>
        <v>0</v>
      </c>
      <c r="P568" s="155">
        <f>+P569</f>
        <v>0</v>
      </c>
    </row>
    <row r="569" spans="1:16" ht="15" customHeight="1" x14ac:dyDescent="0.35">
      <c r="A569" s="157" t="s">
        <v>724</v>
      </c>
      <c r="B569" s="151">
        <f t="shared" si="1157"/>
        <v>1000</v>
      </c>
      <c r="C569" s="152">
        <f t="shared" si="1158"/>
        <v>0</v>
      </c>
      <c r="D569" s="153"/>
      <c r="E569" s="153"/>
      <c r="F569" s="154">
        <f t="shared" si="1159"/>
        <v>0</v>
      </c>
      <c r="G569" s="155"/>
      <c r="H569" s="155"/>
      <c r="I569" s="155"/>
      <c r="J569" s="155"/>
      <c r="K569" s="162"/>
      <c r="L569" s="155">
        <v>1000</v>
      </c>
      <c r="M569" s="166"/>
      <c r="N569" s="156"/>
      <c r="O569" s="155"/>
      <c r="P569" s="63"/>
    </row>
    <row r="570" spans="1:16" ht="30" customHeight="1" x14ac:dyDescent="0.35">
      <c r="A570" s="150" t="s">
        <v>622</v>
      </c>
      <c r="B570" s="151">
        <f t="shared" si="1157"/>
        <v>35874</v>
      </c>
      <c r="C570" s="152">
        <f t="shared" si="1158"/>
        <v>0</v>
      </c>
      <c r="D570" s="153">
        <f t="shared" ref="D570" si="1305">+D571</f>
        <v>0</v>
      </c>
      <c r="E570" s="153">
        <f>+E571</f>
        <v>0</v>
      </c>
      <c r="F570" s="154">
        <f t="shared" si="1159"/>
        <v>0</v>
      </c>
      <c r="G570" s="155">
        <f>+G571</f>
        <v>0</v>
      </c>
      <c r="H570" s="155">
        <f t="shared" ref="H570:M570" si="1306">+H571</f>
        <v>0</v>
      </c>
      <c r="I570" s="155">
        <f t="shared" si="1306"/>
        <v>0</v>
      </c>
      <c r="J570" s="155">
        <f t="shared" si="1306"/>
        <v>0</v>
      </c>
      <c r="K570" s="162">
        <f>+K571</f>
        <v>0</v>
      </c>
      <c r="L570" s="155">
        <f t="shared" si="1306"/>
        <v>0</v>
      </c>
      <c r="M570" s="155">
        <f t="shared" si="1306"/>
        <v>0</v>
      </c>
      <c r="N570" s="156">
        <f>35874+N571</f>
        <v>35874</v>
      </c>
      <c r="O570" s="155">
        <f>+O571</f>
        <v>0</v>
      </c>
      <c r="P570" s="155">
        <f t="shared" ref="H570:P572" si="1307">+P571</f>
        <v>0</v>
      </c>
    </row>
    <row r="571" spans="1:16" ht="15" customHeight="1" x14ac:dyDescent="0.35">
      <c r="A571" s="157" t="s">
        <v>724</v>
      </c>
      <c r="B571" s="151">
        <f t="shared" si="1157"/>
        <v>0</v>
      </c>
      <c r="C571" s="152">
        <f t="shared" si="1158"/>
        <v>0</v>
      </c>
      <c r="D571" s="153"/>
      <c r="E571" s="153"/>
      <c r="F571" s="154">
        <f t="shared" si="1159"/>
        <v>0</v>
      </c>
      <c r="G571" s="155"/>
      <c r="H571" s="155"/>
      <c r="I571" s="155"/>
      <c r="J571" s="155"/>
      <c r="K571" s="162"/>
      <c r="L571" s="155"/>
      <c r="M571" s="166"/>
      <c r="N571" s="156"/>
      <c r="O571" s="155"/>
      <c r="P571" s="63"/>
    </row>
    <row r="572" spans="1:16" ht="48" customHeight="1" x14ac:dyDescent="0.35">
      <c r="A572" s="150" t="s">
        <v>695</v>
      </c>
      <c r="B572" s="151">
        <f t="shared" si="1157"/>
        <v>35058</v>
      </c>
      <c r="C572" s="152">
        <f t="shared" si="1158"/>
        <v>0</v>
      </c>
      <c r="D572" s="153">
        <f t="shared" ref="D572" si="1308">+D573</f>
        <v>0</v>
      </c>
      <c r="E572" s="153">
        <f>+E573</f>
        <v>0</v>
      </c>
      <c r="F572" s="154">
        <f t="shared" si="1159"/>
        <v>0</v>
      </c>
      <c r="G572" s="155">
        <f>+G573</f>
        <v>0</v>
      </c>
      <c r="H572" s="155">
        <f t="shared" si="1307"/>
        <v>0</v>
      </c>
      <c r="I572" s="155">
        <f t="shared" si="1307"/>
        <v>0</v>
      </c>
      <c r="J572" s="155">
        <f t="shared" ref="J572" si="1309">+J573</f>
        <v>0</v>
      </c>
      <c r="K572" s="155">
        <f t="shared" si="1307"/>
        <v>0</v>
      </c>
      <c r="L572" s="155">
        <f t="shared" si="1307"/>
        <v>0</v>
      </c>
      <c r="M572" s="155">
        <f t="shared" si="1307"/>
        <v>0</v>
      </c>
      <c r="N572" s="156">
        <f>+N573</f>
        <v>0</v>
      </c>
      <c r="O572" s="155">
        <f t="shared" si="1307"/>
        <v>0</v>
      </c>
      <c r="P572" s="63">
        <f>35058+P573</f>
        <v>35058</v>
      </c>
    </row>
    <row r="573" spans="1:16" ht="15" customHeight="1" x14ac:dyDescent="0.35">
      <c r="A573" s="157" t="s">
        <v>724</v>
      </c>
      <c r="B573" s="151">
        <f t="shared" si="1157"/>
        <v>0</v>
      </c>
      <c r="C573" s="152">
        <f t="shared" si="1158"/>
        <v>0</v>
      </c>
      <c r="D573" s="153"/>
      <c r="E573" s="153"/>
      <c r="F573" s="154">
        <f t="shared" si="1159"/>
        <v>0</v>
      </c>
      <c r="G573" s="155"/>
      <c r="H573" s="155"/>
      <c r="I573" s="155"/>
      <c r="J573" s="155"/>
      <c r="K573" s="155"/>
      <c r="L573" s="155"/>
      <c r="M573" s="166"/>
      <c r="N573" s="156"/>
      <c r="O573" s="155"/>
      <c r="P573" s="63"/>
    </row>
    <row r="574" spans="1:16" ht="48" customHeight="1" x14ac:dyDescent="0.35">
      <c r="A574" s="150" t="s">
        <v>696</v>
      </c>
      <c r="B574" s="151">
        <f t="shared" si="1157"/>
        <v>13142</v>
      </c>
      <c r="C574" s="152">
        <f t="shared" si="1158"/>
        <v>0</v>
      </c>
      <c r="D574" s="153">
        <f t="shared" ref="D574" si="1310">+D575</f>
        <v>0</v>
      </c>
      <c r="E574" s="153">
        <f>+E575</f>
        <v>0</v>
      </c>
      <c r="F574" s="154">
        <f t="shared" ref="F574:F613" si="1311">SUM(G574,H574,I574,J574,K574)</f>
        <v>0</v>
      </c>
      <c r="G574" s="155">
        <f>+G575</f>
        <v>0</v>
      </c>
      <c r="H574" s="155">
        <f t="shared" ref="H574:M574" si="1312">+H575</f>
        <v>0</v>
      </c>
      <c r="I574" s="155">
        <f t="shared" si="1312"/>
        <v>0</v>
      </c>
      <c r="J574" s="155">
        <f t="shared" si="1312"/>
        <v>0</v>
      </c>
      <c r="K574" s="155">
        <f t="shared" si="1312"/>
        <v>0</v>
      </c>
      <c r="L574" s="155">
        <f t="shared" si="1312"/>
        <v>0</v>
      </c>
      <c r="M574" s="155">
        <f t="shared" si="1312"/>
        <v>0</v>
      </c>
      <c r="N574" s="156">
        <f>+N575</f>
        <v>0</v>
      </c>
      <c r="O574" s="155">
        <f t="shared" ref="O574" si="1313">+O575</f>
        <v>0</v>
      </c>
      <c r="P574" s="63">
        <f>13142+P575</f>
        <v>13142</v>
      </c>
    </row>
    <row r="575" spans="1:16" ht="15" customHeight="1" x14ac:dyDescent="0.35">
      <c r="A575" s="157" t="s">
        <v>724</v>
      </c>
      <c r="B575" s="151">
        <f t="shared" si="1157"/>
        <v>0</v>
      </c>
      <c r="C575" s="152">
        <f t="shared" si="1158"/>
        <v>0</v>
      </c>
      <c r="D575" s="153"/>
      <c r="E575" s="153"/>
      <c r="F575" s="154">
        <f t="shared" si="1311"/>
        <v>0</v>
      </c>
      <c r="G575" s="155"/>
      <c r="H575" s="155"/>
      <c r="I575" s="155"/>
      <c r="J575" s="155"/>
      <c r="K575" s="155"/>
      <c r="L575" s="155"/>
      <c r="M575" s="166"/>
      <c r="N575" s="156"/>
      <c r="O575" s="155"/>
      <c r="P575" s="63"/>
    </row>
    <row r="576" spans="1:16" ht="30" customHeight="1" x14ac:dyDescent="0.35">
      <c r="A576" s="150" t="s">
        <v>694</v>
      </c>
      <c r="B576" s="151">
        <f t="shared" si="1157"/>
        <v>65155</v>
      </c>
      <c r="C576" s="152">
        <f t="shared" si="1158"/>
        <v>0</v>
      </c>
      <c r="D576" s="153">
        <f t="shared" ref="D576:D610" si="1314">+D577</f>
        <v>0</v>
      </c>
      <c r="E576" s="153">
        <f>+E577</f>
        <v>0</v>
      </c>
      <c r="F576" s="154">
        <f t="shared" si="1311"/>
        <v>0</v>
      </c>
      <c r="G576" s="155">
        <f>+G577</f>
        <v>0</v>
      </c>
      <c r="H576" s="155">
        <f t="shared" ref="H576:O610" si="1315">+H577</f>
        <v>0</v>
      </c>
      <c r="I576" s="155">
        <f t="shared" si="1315"/>
        <v>0</v>
      </c>
      <c r="J576" s="155">
        <f t="shared" si="1315"/>
        <v>0</v>
      </c>
      <c r="K576" s="155">
        <f t="shared" si="1315"/>
        <v>0</v>
      </c>
      <c r="L576" s="155">
        <f t="shared" si="1315"/>
        <v>0</v>
      </c>
      <c r="M576" s="155">
        <f>+M577</f>
        <v>0</v>
      </c>
      <c r="N576" s="156">
        <f>+N577</f>
        <v>0</v>
      </c>
      <c r="O576" s="155">
        <f t="shared" si="1315"/>
        <v>0</v>
      </c>
      <c r="P576" s="63">
        <f>65155+P577</f>
        <v>65155</v>
      </c>
    </row>
    <row r="577" spans="1:18" ht="21" customHeight="1" x14ac:dyDescent="0.35">
      <c r="A577" s="157" t="s">
        <v>724</v>
      </c>
      <c r="B577" s="151">
        <f t="shared" si="1157"/>
        <v>0</v>
      </c>
      <c r="C577" s="152">
        <f t="shared" si="1158"/>
        <v>0</v>
      </c>
      <c r="D577" s="153">
        <v>0</v>
      </c>
      <c r="E577" s="153"/>
      <c r="F577" s="154">
        <f t="shared" si="1311"/>
        <v>0</v>
      </c>
      <c r="G577" s="155"/>
      <c r="H577" s="155"/>
      <c r="I577" s="155"/>
      <c r="J577" s="155">
        <v>0</v>
      </c>
      <c r="K577" s="155"/>
      <c r="L577" s="155"/>
      <c r="M577" s="166"/>
      <c r="N577" s="156"/>
      <c r="O577" s="155"/>
      <c r="P577" s="63"/>
    </row>
    <row r="578" spans="1:18" s="172" customFormat="1" ht="51.75" customHeight="1" x14ac:dyDescent="0.35">
      <c r="A578" s="150" t="s">
        <v>730</v>
      </c>
      <c r="B578" s="151">
        <f>SUM(C578+F578,L578,M578,N578,O578,P578)</f>
        <v>229065</v>
      </c>
      <c r="C578" s="152">
        <f t="shared" ref="C578:C579" si="1316">D578+E578</f>
        <v>0</v>
      </c>
      <c r="D578" s="153">
        <f t="shared" si="1314"/>
        <v>0</v>
      </c>
      <c r="E578" s="153">
        <f>+E579</f>
        <v>0</v>
      </c>
      <c r="F578" s="154">
        <f t="shared" si="1311"/>
        <v>0</v>
      </c>
      <c r="G578" s="155">
        <f>+G579</f>
        <v>0</v>
      </c>
      <c r="H578" s="155">
        <f t="shared" si="1315"/>
        <v>0</v>
      </c>
      <c r="I578" s="155">
        <f t="shared" si="1315"/>
        <v>0</v>
      </c>
      <c r="J578" s="155">
        <f t="shared" si="1315"/>
        <v>0</v>
      </c>
      <c r="K578" s="155">
        <f t="shared" si="1315"/>
        <v>0</v>
      </c>
      <c r="L578" s="155">
        <f t="shared" si="1315"/>
        <v>0</v>
      </c>
      <c r="M578" s="155">
        <f>+M579</f>
        <v>0</v>
      </c>
      <c r="N578" s="156">
        <f>+N579</f>
        <v>229065</v>
      </c>
      <c r="O578" s="155">
        <f t="shared" si="1315"/>
        <v>0</v>
      </c>
      <c r="P578" s="63">
        <f>P579</f>
        <v>0</v>
      </c>
    </row>
    <row r="579" spans="1:18" s="173" customFormat="1" ht="30" customHeight="1" x14ac:dyDescent="0.35">
      <c r="A579" s="157" t="s">
        <v>724</v>
      </c>
      <c r="B579" s="151">
        <f t="shared" ref="B579" si="1317">SUM(C579+F579,L579,M579,N579,O579,P579)</f>
        <v>229065</v>
      </c>
      <c r="C579" s="152">
        <f t="shared" si="1316"/>
        <v>0</v>
      </c>
      <c r="D579" s="153">
        <v>0</v>
      </c>
      <c r="E579" s="153"/>
      <c r="F579" s="154">
        <f t="shared" si="1311"/>
        <v>0</v>
      </c>
      <c r="G579" s="155"/>
      <c r="H579" s="155"/>
      <c r="I579" s="155"/>
      <c r="J579" s="155">
        <v>0</v>
      </c>
      <c r="K579" s="155"/>
      <c r="L579" s="155"/>
      <c r="M579" s="166"/>
      <c r="N579" s="156">
        <v>229065</v>
      </c>
      <c r="O579" s="155"/>
      <c r="P579" s="63"/>
    </row>
    <row r="580" spans="1:18" ht="68.25" customHeight="1" x14ac:dyDescent="0.35">
      <c r="A580" s="201" t="s">
        <v>732</v>
      </c>
      <c r="B580" s="151">
        <f>SUM(C580+F580,L580,M580,N580,O580,P580)</f>
        <v>15000</v>
      </c>
      <c r="C580" s="152">
        <f t="shared" ref="C580:C583" si="1318">D580+E580</f>
        <v>0</v>
      </c>
      <c r="D580" s="153">
        <f t="shared" si="1314"/>
        <v>0</v>
      </c>
      <c r="E580" s="153">
        <f>+E581</f>
        <v>0</v>
      </c>
      <c r="F580" s="154">
        <f t="shared" si="1311"/>
        <v>0</v>
      </c>
      <c r="G580" s="155">
        <f>+G581</f>
        <v>0</v>
      </c>
      <c r="H580" s="155">
        <f t="shared" si="1315"/>
        <v>0</v>
      </c>
      <c r="I580" s="155">
        <f t="shared" si="1315"/>
        <v>0</v>
      </c>
      <c r="J580" s="155">
        <f t="shared" si="1315"/>
        <v>0</v>
      </c>
      <c r="K580" s="155">
        <f t="shared" si="1315"/>
        <v>0</v>
      </c>
      <c r="L580" s="155">
        <f t="shared" si="1315"/>
        <v>0</v>
      </c>
      <c r="M580" s="155">
        <f>+M581</f>
        <v>0</v>
      </c>
      <c r="N580" s="156">
        <f>+N581</f>
        <v>15000</v>
      </c>
      <c r="O580" s="155">
        <f t="shared" si="1315"/>
        <v>0</v>
      </c>
      <c r="P580" s="63">
        <f>P581</f>
        <v>0</v>
      </c>
      <c r="Q580" s="174"/>
      <c r="R580" s="174"/>
    </row>
    <row r="581" spans="1:18" ht="26.4" customHeight="1" x14ac:dyDescent="0.35">
      <c r="A581" s="157" t="s">
        <v>724</v>
      </c>
      <c r="B581" s="151">
        <f t="shared" ref="B581" si="1319">SUM(C581+F581,L581,M581,N581,O581,P581)</f>
        <v>15000</v>
      </c>
      <c r="C581" s="152">
        <f t="shared" si="1318"/>
        <v>0</v>
      </c>
      <c r="D581" s="153">
        <v>0</v>
      </c>
      <c r="E581" s="153"/>
      <c r="F581" s="154">
        <f t="shared" si="1311"/>
        <v>0</v>
      </c>
      <c r="G581" s="155"/>
      <c r="H581" s="155"/>
      <c r="I581" s="155"/>
      <c r="J581" s="155">
        <v>0</v>
      </c>
      <c r="K581" s="155"/>
      <c r="L581" s="155"/>
      <c r="M581" s="166"/>
      <c r="N581" s="156">
        <v>15000</v>
      </c>
      <c r="O581" s="155"/>
      <c r="P581" s="63"/>
      <c r="Q581" s="174"/>
      <c r="R581" s="174"/>
    </row>
    <row r="582" spans="1:18" ht="30.75" customHeight="1" x14ac:dyDescent="0.35">
      <c r="A582" s="150" t="s">
        <v>733</v>
      </c>
      <c r="B582" s="151">
        <f>SUM(C582+F582,L582,M582,N582,O582,P582)</f>
        <v>700</v>
      </c>
      <c r="C582" s="152">
        <f t="shared" si="1318"/>
        <v>0</v>
      </c>
      <c r="D582" s="153">
        <f t="shared" si="1314"/>
        <v>0</v>
      </c>
      <c r="E582" s="153">
        <f>+E583</f>
        <v>0</v>
      </c>
      <c r="F582" s="154">
        <f t="shared" si="1311"/>
        <v>0</v>
      </c>
      <c r="G582" s="155">
        <f>+G583</f>
        <v>0</v>
      </c>
      <c r="H582" s="155">
        <f t="shared" si="1315"/>
        <v>0</v>
      </c>
      <c r="I582" s="155">
        <f t="shared" si="1315"/>
        <v>0</v>
      </c>
      <c r="J582" s="155">
        <f t="shared" si="1315"/>
        <v>0</v>
      </c>
      <c r="K582" s="155">
        <f t="shared" si="1315"/>
        <v>0</v>
      </c>
      <c r="L582" s="155">
        <f t="shared" si="1315"/>
        <v>0</v>
      </c>
      <c r="M582" s="155">
        <f>+M583</f>
        <v>0</v>
      </c>
      <c r="N582" s="156">
        <f>+N583</f>
        <v>700</v>
      </c>
      <c r="O582" s="155">
        <f t="shared" si="1315"/>
        <v>0</v>
      </c>
      <c r="P582" s="63">
        <f>P583</f>
        <v>0</v>
      </c>
    </row>
    <row r="583" spans="1:18" ht="24.75" customHeight="1" x14ac:dyDescent="0.35">
      <c r="A583" s="157" t="s">
        <v>724</v>
      </c>
      <c r="B583" s="151">
        <f t="shared" ref="B583" si="1320">SUM(C583+F583,L583,M583,N583,O583,P583)</f>
        <v>700</v>
      </c>
      <c r="C583" s="152">
        <f t="shared" si="1318"/>
        <v>0</v>
      </c>
      <c r="D583" s="153">
        <v>0</v>
      </c>
      <c r="E583" s="153"/>
      <c r="F583" s="154">
        <f t="shared" si="1311"/>
        <v>0</v>
      </c>
      <c r="G583" s="155"/>
      <c r="H583" s="155"/>
      <c r="I583" s="155"/>
      <c r="J583" s="155">
        <v>0</v>
      </c>
      <c r="K583" s="155"/>
      <c r="L583" s="155"/>
      <c r="M583" s="166"/>
      <c r="N583" s="156">
        <v>700</v>
      </c>
      <c r="O583" s="155"/>
      <c r="P583" s="63"/>
    </row>
    <row r="584" spans="1:18" ht="38.25" customHeight="1" x14ac:dyDescent="0.35">
      <c r="A584" s="201" t="s">
        <v>734</v>
      </c>
      <c r="B584" s="151">
        <f>SUM(C584+F584,L584,M584,N584,O584,P584)</f>
        <v>880</v>
      </c>
      <c r="C584" s="152">
        <f t="shared" ref="C584:C587" si="1321">D584+E584</f>
        <v>880</v>
      </c>
      <c r="D584" s="153">
        <f t="shared" si="1314"/>
        <v>880</v>
      </c>
      <c r="E584" s="153">
        <f>+E585</f>
        <v>0</v>
      </c>
      <c r="F584" s="154">
        <f t="shared" si="1311"/>
        <v>0</v>
      </c>
      <c r="G584" s="155">
        <f>+G585</f>
        <v>0</v>
      </c>
      <c r="H584" s="155">
        <f t="shared" si="1315"/>
        <v>0</v>
      </c>
      <c r="I584" s="155">
        <f t="shared" si="1315"/>
        <v>0</v>
      </c>
      <c r="J584" s="155">
        <f t="shared" si="1315"/>
        <v>0</v>
      </c>
      <c r="K584" s="155">
        <f t="shared" si="1315"/>
        <v>0</v>
      </c>
      <c r="L584" s="155">
        <f t="shared" si="1315"/>
        <v>0</v>
      </c>
      <c r="M584" s="155">
        <f>+M585</f>
        <v>0</v>
      </c>
      <c r="N584" s="156">
        <f>+N585</f>
        <v>0</v>
      </c>
      <c r="O584" s="155">
        <f t="shared" si="1315"/>
        <v>0</v>
      </c>
      <c r="P584" s="63">
        <f>P585</f>
        <v>0</v>
      </c>
    </row>
    <row r="585" spans="1:18" ht="20.25" customHeight="1" x14ac:dyDescent="0.35">
      <c r="A585" s="157" t="s">
        <v>724</v>
      </c>
      <c r="B585" s="151">
        <f t="shared" ref="B585" si="1322">SUM(C585+F585,L585,M585,N585,O585,P585)</f>
        <v>880</v>
      </c>
      <c r="C585" s="152">
        <f t="shared" si="1321"/>
        <v>880</v>
      </c>
      <c r="D585" s="153">
        <v>880</v>
      </c>
      <c r="E585" s="153"/>
      <c r="F585" s="154">
        <f t="shared" si="1311"/>
        <v>0</v>
      </c>
      <c r="G585" s="155"/>
      <c r="H585" s="155"/>
      <c r="I585" s="155"/>
      <c r="J585" s="155">
        <v>0</v>
      </c>
      <c r="K585" s="155"/>
      <c r="L585" s="155"/>
      <c r="M585" s="166"/>
      <c r="N585" s="156">
        <v>0</v>
      </c>
      <c r="O585" s="155"/>
      <c r="P585" s="63"/>
    </row>
    <row r="586" spans="1:18" ht="39.75" customHeight="1" x14ac:dyDescent="0.35">
      <c r="A586" s="150" t="s">
        <v>736</v>
      </c>
      <c r="B586" s="151">
        <f>SUM(C586+F586,L586,M586,N586,O586,P586)</f>
        <v>2400</v>
      </c>
      <c r="C586" s="152">
        <f t="shared" si="1321"/>
        <v>0</v>
      </c>
      <c r="D586" s="153">
        <f t="shared" si="1314"/>
        <v>0</v>
      </c>
      <c r="E586" s="153">
        <f>+E587</f>
        <v>0</v>
      </c>
      <c r="F586" s="154">
        <f t="shared" si="1311"/>
        <v>0</v>
      </c>
      <c r="G586" s="155">
        <f>+G587</f>
        <v>0</v>
      </c>
      <c r="H586" s="155">
        <f t="shared" si="1315"/>
        <v>0</v>
      </c>
      <c r="I586" s="155">
        <f t="shared" si="1315"/>
        <v>0</v>
      </c>
      <c r="J586" s="155">
        <f t="shared" si="1315"/>
        <v>0</v>
      </c>
      <c r="K586" s="155">
        <f t="shared" si="1315"/>
        <v>0</v>
      </c>
      <c r="L586" s="155">
        <f t="shared" si="1315"/>
        <v>0</v>
      </c>
      <c r="M586" s="155">
        <f>+M587</f>
        <v>0</v>
      </c>
      <c r="N586" s="156">
        <f>+N587</f>
        <v>2400</v>
      </c>
      <c r="O586" s="155">
        <f t="shared" si="1315"/>
        <v>0</v>
      </c>
      <c r="P586" s="63">
        <f>P587</f>
        <v>0</v>
      </c>
    </row>
    <row r="587" spans="1:18" ht="16.2" x14ac:dyDescent="0.35">
      <c r="A587" s="157" t="s">
        <v>724</v>
      </c>
      <c r="B587" s="151">
        <f t="shared" ref="B587" si="1323">SUM(C587+F587,L587,M587,N587,O587,P587)</f>
        <v>2400</v>
      </c>
      <c r="C587" s="152">
        <f t="shared" si="1321"/>
        <v>0</v>
      </c>
      <c r="D587" s="153">
        <v>0</v>
      </c>
      <c r="E587" s="153"/>
      <c r="F587" s="154">
        <f t="shared" si="1311"/>
        <v>0</v>
      </c>
      <c r="G587" s="155"/>
      <c r="H587" s="155"/>
      <c r="I587" s="155"/>
      <c r="J587" s="155">
        <v>0</v>
      </c>
      <c r="K587" s="155"/>
      <c r="L587" s="155"/>
      <c r="M587" s="166"/>
      <c r="N587" s="156">
        <v>2400</v>
      </c>
      <c r="O587" s="155"/>
      <c r="P587" s="63"/>
    </row>
    <row r="588" spans="1:18" ht="48.6" x14ac:dyDescent="0.35">
      <c r="A588" s="201" t="s">
        <v>826</v>
      </c>
      <c r="B588" s="151">
        <f>SUM(C588+F588,L588,M588,N588,O588,P588)</f>
        <v>10000</v>
      </c>
      <c r="C588" s="152">
        <f t="shared" ref="C588:C589" si="1324">D588+E588</f>
        <v>0</v>
      </c>
      <c r="D588" s="153">
        <f t="shared" si="1314"/>
        <v>0</v>
      </c>
      <c r="E588" s="153">
        <f>+E589</f>
        <v>0</v>
      </c>
      <c r="F588" s="154">
        <f t="shared" si="1311"/>
        <v>0</v>
      </c>
      <c r="G588" s="155">
        <f>+G589</f>
        <v>0</v>
      </c>
      <c r="H588" s="155">
        <f t="shared" si="1315"/>
        <v>0</v>
      </c>
      <c r="I588" s="155">
        <f t="shared" si="1315"/>
        <v>0</v>
      </c>
      <c r="J588" s="155">
        <f t="shared" si="1315"/>
        <v>0</v>
      </c>
      <c r="K588" s="155">
        <f t="shared" si="1315"/>
        <v>0</v>
      </c>
      <c r="L588" s="155">
        <f t="shared" si="1315"/>
        <v>0</v>
      </c>
      <c r="M588" s="155">
        <f>+M589</f>
        <v>0</v>
      </c>
      <c r="N588" s="156">
        <f>+N589</f>
        <v>10000</v>
      </c>
      <c r="O588" s="155">
        <f t="shared" si="1315"/>
        <v>0</v>
      </c>
      <c r="P588" s="63">
        <f>P589</f>
        <v>0</v>
      </c>
    </row>
    <row r="589" spans="1:18" ht="16.2" x14ac:dyDescent="0.35">
      <c r="A589" s="157" t="s">
        <v>724</v>
      </c>
      <c r="B589" s="151">
        <f t="shared" ref="B589" si="1325">SUM(C589+F589,L589,M589,N589,O589,P589)</f>
        <v>10000</v>
      </c>
      <c r="C589" s="152">
        <f t="shared" si="1324"/>
        <v>0</v>
      </c>
      <c r="D589" s="153">
        <v>0</v>
      </c>
      <c r="E589" s="153"/>
      <c r="F589" s="154">
        <f t="shared" si="1311"/>
        <v>0</v>
      </c>
      <c r="G589" s="155"/>
      <c r="H589" s="155"/>
      <c r="I589" s="155"/>
      <c r="J589" s="155">
        <v>0</v>
      </c>
      <c r="K589" s="155"/>
      <c r="L589" s="155"/>
      <c r="M589" s="166"/>
      <c r="N589" s="156">
        <v>10000</v>
      </c>
      <c r="O589" s="155"/>
      <c r="P589" s="63"/>
    </row>
    <row r="590" spans="1:18" ht="48.6" x14ac:dyDescent="0.35">
      <c r="A590" s="201" t="s">
        <v>738</v>
      </c>
      <c r="B590" s="151">
        <f>SUM(C590+F590,L590,M590,N590,O590,P590)</f>
        <v>5000</v>
      </c>
      <c r="C590" s="152">
        <f t="shared" ref="C590:C591" si="1326">D590+E590</f>
        <v>0</v>
      </c>
      <c r="D590" s="153">
        <f t="shared" si="1314"/>
        <v>0</v>
      </c>
      <c r="E590" s="153">
        <f>+E591</f>
        <v>0</v>
      </c>
      <c r="F590" s="154">
        <f t="shared" si="1311"/>
        <v>0</v>
      </c>
      <c r="G590" s="155">
        <f>+G591</f>
        <v>0</v>
      </c>
      <c r="H590" s="155">
        <f t="shared" si="1315"/>
        <v>0</v>
      </c>
      <c r="I590" s="155">
        <f t="shared" si="1315"/>
        <v>0</v>
      </c>
      <c r="J590" s="155">
        <f t="shared" si="1315"/>
        <v>0</v>
      </c>
      <c r="K590" s="155">
        <f t="shared" si="1315"/>
        <v>0</v>
      </c>
      <c r="L590" s="155">
        <f t="shared" si="1315"/>
        <v>0</v>
      </c>
      <c r="M590" s="155">
        <f>+M591</f>
        <v>0</v>
      </c>
      <c r="N590" s="156">
        <f>+N591</f>
        <v>5000</v>
      </c>
      <c r="O590" s="155">
        <f t="shared" si="1315"/>
        <v>0</v>
      </c>
      <c r="P590" s="63">
        <f>P591</f>
        <v>0</v>
      </c>
    </row>
    <row r="591" spans="1:18" ht="16.2" x14ac:dyDescent="0.35">
      <c r="A591" s="157" t="s">
        <v>724</v>
      </c>
      <c r="B591" s="151">
        <f t="shared" ref="B591" si="1327">SUM(C591+F591,L591,M591,N591,O591,P591)</f>
        <v>5000</v>
      </c>
      <c r="C591" s="152">
        <f t="shared" si="1326"/>
        <v>0</v>
      </c>
      <c r="D591" s="153">
        <v>0</v>
      </c>
      <c r="E591" s="153"/>
      <c r="F591" s="154">
        <f t="shared" si="1311"/>
        <v>0</v>
      </c>
      <c r="G591" s="155"/>
      <c r="H591" s="155"/>
      <c r="I591" s="155"/>
      <c r="J591" s="155">
        <v>0</v>
      </c>
      <c r="K591" s="155"/>
      <c r="L591" s="155"/>
      <c r="M591" s="166"/>
      <c r="N591" s="156">
        <v>5000</v>
      </c>
      <c r="O591" s="155"/>
      <c r="P591" s="63"/>
    </row>
    <row r="592" spans="1:18" ht="48.6" x14ac:dyDescent="0.35">
      <c r="A592" s="202" t="s">
        <v>756</v>
      </c>
      <c r="B592" s="151">
        <f>SUM(C592+F592,L592,M592,N592,O592,P592)</f>
        <v>5000</v>
      </c>
      <c r="C592" s="152">
        <f t="shared" ref="C592:C593" si="1328">D592+E592</f>
        <v>400</v>
      </c>
      <c r="D592" s="153">
        <f t="shared" si="1314"/>
        <v>400</v>
      </c>
      <c r="E592" s="153">
        <f>+E593</f>
        <v>0</v>
      </c>
      <c r="F592" s="154">
        <f t="shared" si="1311"/>
        <v>4600</v>
      </c>
      <c r="G592" s="155">
        <f>+G593</f>
        <v>0</v>
      </c>
      <c r="H592" s="155">
        <f t="shared" si="1315"/>
        <v>4600</v>
      </c>
      <c r="I592" s="155">
        <f t="shared" si="1315"/>
        <v>0</v>
      </c>
      <c r="J592" s="155">
        <f t="shared" si="1315"/>
        <v>0</v>
      </c>
      <c r="K592" s="155">
        <f t="shared" si="1315"/>
        <v>0</v>
      </c>
      <c r="L592" s="155">
        <f t="shared" si="1315"/>
        <v>0</v>
      </c>
      <c r="M592" s="155">
        <f>+M593</f>
        <v>0</v>
      </c>
      <c r="N592" s="156">
        <f>+N593</f>
        <v>0</v>
      </c>
      <c r="O592" s="155">
        <f t="shared" si="1315"/>
        <v>0</v>
      </c>
      <c r="P592" s="63">
        <f>P593</f>
        <v>0</v>
      </c>
    </row>
    <row r="593" spans="1:16" ht="16.2" x14ac:dyDescent="0.35">
      <c r="A593" s="157" t="s">
        <v>724</v>
      </c>
      <c r="B593" s="151">
        <f t="shared" ref="B593" si="1329">SUM(C593+F593,L593,M593,N593,O593,P593)</f>
        <v>5000</v>
      </c>
      <c r="C593" s="152">
        <f t="shared" si="1328"/>
        <v>400</v>
      </c>
      <c r="D593" s="153">
        <v>400</v>
      </c>
      <c r="E593" s="153"/>
      <c r="F593" s="154">
        <f t="shared" si="1311"/>
        <v>4600</v>
      </c>
      <c r="G593" s="155"/>
      <c r="H593" s="155">
        <v>4600</v>
      </c>
      <c r="I593" s="155"/>
      <c r="J593" s="155">
        <v>0</v>
      </c>
      <c r="K593" s="155"/>
      <c r="L593" s="155"/>
      <c r="M593" s="166"/>
      <c r="N593" s="156">
        <v>0</v>
      </c>
      <c r="O593" s="155"/>
      <c r="P593" s="63"/>
    </row>
    <row r="594" spans="1:16" ht="38.25" customHeight="1" x14ac:dyDescent="0.35">
      <c r="A594" s="202" t="s">
        <v>742</v>
      </c>
      <c r="B594" s="151">
        <f>SUM(C594+F594,L594,M594,N594,O594,P594)</f>
        <v>1000</v>
      </c>
      <c r="C594" s="152">
        <f t="shared" ref="C594:C595" si="1330">D594+E594</f>
        <v>1000</v>
      </c>
      <c r="D594" s="153">
        <f t="shared" si="1314"/>
        <v>1000</v>
      </c>
      <c r="E594" s="153">
        <f>+E595</f>
        <v>0</v>
      </c>
      <c r="F594" s="154">
        <f t="shared" si="1311"/>
        <v>0</v>
      </c>
      <c r="G594" s="155">
        <f>+G595</f>
        <v>0</v>
      </c>
      <c r="H594" s="155">
        <f t="shared" si="1315"/>
        <v>0</v>
      </c>
      <c r="I594" s="155">
        <f t="shared" si="1315"/>
        <v>0</v>
      </c>
      <c r="J594" s="155">
        <f t="shared" si="1315"/>
        <v>0</v>
      </c>
      <c r="K594" s="155">
        <f t="shared" si="1315"/>
        <v>0</v>
      </c>
      <c r="L594" s="155">
        <f t="shared" si="1315"/>
        <v>0</v>
      </c>
      <c r="M594" s="155">
        <f>+M595</f>
        <v>0</v>
      </c>
      <c r="N594" s="156">
        <f>+N595</f>
        <v>0</v>
      </c>
      <c r="O594" s="155">
        <f t="shared" si="1315"/>
        <v>0</v>
      </c>
      <c r="P594" s="63">
        <f>P595</f>
        <v>0</v>
      </c>
    </row>
    <row r="595" spans="1:16" ht="16.2" x14ac:dyDescent="0.35">
      <c r="A595" s="157" t="s">
        <v>724</v>
      </c>
      <c r="B595" s="151">
        <f t="shared" ref="B595" si="1331">SUM(C595+F595,L595,M595,N595,O595,P595)</f>
        <v>1000</v>
      </c>
      <c r="C595" s="152">
        <f t="shared" si="1330"/>
        <v>1000</v>
      </c>
      <c r="D595" s="153">
        <v>1000</v>
      </c>
      <c r="E595" s="153"/>
      <c r="F595" s="154">
        <f t="shared" si="1311"/>
        <v>0</v>
      </c>
      <c r="G595" s="155"/>
      <c r="H595" s="155"/>
      <c r="I595" s="155"/>
      <c r="J595" s="155">
        <v>0</v>
      </c>
      <c r="K595" s="155"/>
      <c r="L595" s="155"/>
      <c r="M595" s="166"/>
      <c r="N595" s="156">
        <v>0</v>
      </c>
      <c r="O595" s="155"/>
      <c r="P595" s="63"/>
    </row>
    <row r="596" spans="1:16" ht="48.6" x14ac:dyDescent="0.35">
      <c r="A596" s="202" t="s">
        <v>743</v>
      </c>
      <c r="B596" s="151">
        <f>SUM(C596+F596,L596,M596,N596,O596,P596)</f>
        <v>4000</v>
      </c>
      <c r="C596" s="152">
        <f t="shared" ref="C596:C597" si="1332">D596+E596</f>
        <v>2100</v>
      </c>
      <c r="D596" s="153">
        <f t="shared" si="1314"/>
        <v>2100</v>
      </c>
      <c r="E596" s="153">
        <f>+E597</f>
        <v>0</v>
      </c>
      <c r="F596" s="154">
        <f t="shared" si="1311"/>
        <v>1900</v>
      </c>
      <c r="G596" s="155">
        <f>+G597</f>
        <v>0</v>
      </c>
      <c r="H596" s="155">
        <f t="shared" si="1315"/>
        <v>515</v>
      </c>
      <c r="I596" s="155">
        <f t="shared" si="1315"/>
        <v>1385</v>
      </c>
      <c r="J596" s="155">
        <f t="shared" si="1315"/>
        <v>0</v>
      </c>
      <c r="K596" s="155">
        <f t="shared" si="1315"/>
        <v>0</v>
      </c>
      <c r="L596" s="155">
        <f t="shared" si="1315"/>
        <v>0</v>
      </c>
      <c r="M596" s="155">
        <f>+M597</f>
        <v>0</v>
      </c>
      <c r="N596" s="156">
        <f>+N597</f>
        <v>0</v>
      </c>
      <c r="O596" s="155">
        <f t="shared" si="1315"/>
        <v>0</v>
      </c>
      <c r="P596" s="63">
        <f>P597</f>
        <v>0</v>
      </c>
    </row>
    <row r="597" spans="1:16" ht="16.2" x14ac:dyDescent="0.35">
      <c r="A597" s="157" t="s">
        <v>724</v>
      </c>
      <c r="B597" s="151">
        <f t="shared" ref="B597" si="1333">SUM(C597+F597,L597,M597,N597,O597,P597)</f>
        <v>4000</v>
      </c>
      <c r="C597" s="152">
        <f t="shared" si="1332"/>
        <v>2100</v>
      </c>
      <c r="D597" s="153">
        <v>2100</v>
      </c>
      <c r="E597" s="153"/>
      <c r="F597" s="154">
        <f t="shared" si="1311"/>
        <v>1900</v>
      </c>
      <c r="G597" s="155"/>
      <c r="H597" s="155">
        <v>515</v>
      </c>
      <c r="I597" s="155">
        <v>1385</v>
      </c>
      <c r="J597" s="155">
        <v>0</v>
      </c>
      <c r="K597" s="155"/>
      <c r="L597" s="155"/>
      <c r="M597" s="166"/>
      <c r="N597" s="156">
        <v>0</v>
      </c>
      <c r="O597" s="155"/>
      <c r="P597" s="63"/>
    </row>
    <row r="598" spans="1:16" ht="32.4" x14ac:dyDescent="0.35">
      <c r="A598" s="202" t="s">
        <v>744</v>
      </c>
      <c r="B598" s="151">
        <f>SUM(C598+F598,L598,M598,N598,O598,P598)</f>
        <v>4000</v>
      </c>
      <c r="C598" s="152">
        <f t="shared" ref="C598:C599" si="1334">D598+E598</f>
        <v>2800</v>
      </c>
      <c r="D598" s="153">
        <f t="shared" si="1314"/>
        <v>2800</v>
      </c>
      <c r="E598" s="153">
        <f>+E599</f>
        <v>0</v>
      </c>
      <c r="F598" s="154">
        <f t="shared" si="1311"/>
        <v>1200</v>
      </c>
      <c r="G598" s="155">
        <f>+G599</f>
        <v>0</v>
      </c>
      <c r="H598" s="155">
        <f t="shared" si="1315"/>
        <v>1200</v>
      </c>
      <c r="I598" s="155">
        <f t="shared" si="1315"/>
        <v>0</v>
      </c>
      <c r="J598" s="155">
        <f t="shared" si="1315"/>
        <v>0</v>
      </c>
      <c r="K598" s="155">
        <f t="shared" si="1315"/>
        <v>0</v>
      </c>
      <c r="L598" s="155">
        <f t="shared" si="1315"/>
        <v>0</v>
      </c>
      <c r="M598" s="155">
        <f>+M599</f>
        <v>0</v>
      </c>
      <c r="N598" s="156">
        <f>+N599</f>
        <v>0</v>
      </c>
      <c r="O598" s="155">
        <f t="shared" si="1315"/>
        <v>0</v>
      </c>
      <c r="P598" s="63">
        <f>P599</f>
        <v>0</v>
      </c>
    </row>
    <row r="599" spans="1:16" ht="16.2" x14ac:dyDescent="0.35">
      <c r="A599" s="157" t="s">
        <v>724</v>
      </c>
      <c r="B599" s="151">
        <f t="shared" ref="B599" si="1335">SUM(C599+F599,L599,M599,N599,O599,P599)</f>
        <v>4000</v>
      </c>
      <c r="C599" s="152">
        <f t="shared" si="1334"/>
        <v>2800</v>
      </c>
      <c r="D599" s="153">
        <v>2800</v>
      </c>
      <c r="E599" s="153"/>
      <c r="F599" s="154">
        <f t="shared" si="1311"/>
        <v>1200</v>
      </c>
      <c r="G599" s="155"/>
      <c r="H599" s="155">
        <v>1200</v>
      </c>
      <c r="I599" s="155"/>
      <c r="J599" s="155">
        <v>0</v>
      </c>
      <c r="K599" s="155"/>
      <c r="L599" s="155"/>
      <c r="M599" s="166"/>
      <c r="N599" s="156">
        <v>0</v>
      </c>
      <c r="O599" s="155"/>
      <c r="P599" s="63"/>
    </row>
    <row r="600" spans="1:16" ht="48.6" x14ac:dyDescent="0.35">
      <c r="A600" s="202" t="s">
        <v>747</v>
      </c>
      <c r="B600" s="151">
        <f>SUM(C600+F600,L600,M600,N600,O600,P600)</f>
        <v>937</v>
      </c>
      <c r="C600" s="152">
        <f t="shared" ref="C600:C601" si="1336">D600+E600</f>
        <v>0</v>
      </c>
      <c r="D600" s="153">
        <f t="shared" si="1314"/>
        <v>0</v>
      </c>
      <c r="E600" s="153">
        <f>+E601</f>
        <v>0</v>
      </c>
      <c r="F600" s="154">
        <f t="shared" si="1311"/>
        <v>937</v>
      </c>
      <c r="G600" s="155">
        <f>+G601</f>
        <v>0</v>
      </c>
      <c r="H600" s="155">
        <f t="shared" si="1315"/>
        <v>0</v>
      </c>
      <c r="I600" s="155">
        <f t="shared" si="1315"/>
        <v>937</v>
      </c>
      <c r="J600" s="155">
        <f t="shared" si="1315"/>
        <v>0</v>
      </c>
      <c r="K600" s="155">
        <f t="shared" si="1315"/>
        <v>0</v>
      </c>
      <c r="L600" s="155">
        <f t="shared" si="1315"/>
        <v>0</v>
      </c>
      <c r="M600" s="155">
        <f>+M601</f>
        <v>0</v>
      </c>
      <c r="N600" s="156">
        <f>+N601</f>
        <v>0</v>
      </c>
      <c r="O600" s="155">
        <f t="shared" si="1315"/>
        <v>0</v>
      </c>
      <c r="P600" s="63">
        <f>P601</f>
        <v>0</v>
      </c>
    </row>
    <row r="601" spans="1:16" ht="16.2" x14ac:dyDescent="0.35">
      <c r="A601" s="157" t="s">
        <v>724</v>
      </c>
      <c r="B601" s="151">
        <f>SUM(C601+F601,L601,M601,N601,O601,P601)</f>
        <v>937</v>
      </c>
      <c r="C601" s="152">
        <f t="shared" si="1336"/>
        <v>0</v>
      </c>
      <c r="D601" s="153">
        <v>0</v>
      </c>
      <c r="E601" s="153"/>
      <c r="F601" s="154">
        <f t="shared" si="1311"/>
        <v>937</v>
      </c>
      <c r="G601" s="155"/>
      <c r="H601" s="155">
        <v>0</v>
      </c>
      <c r="I601" s="155">
        <v>937</v>
      </c>
      <c r="J601" s="155">
        <v>0</v>
      </c>
      <c r="K601" s="155"/>
      <c r="L601" s="155"/>
      <c r="M601" s="166"/>
      <c r="N601" s="156">
        <v>0</v>
      </c>
      <c r="O601" s="155"/>
      <c r="P601" s="63"/>
    </row>
    <row r="602" spans="1:16" ht="48.6" x14ac:dyDescent="0.35">
      <c r="A602" s="202" t="s">
        <v>749</v>
      </c>
      <c r="B602" s="151">
        <f>SUM(C602+F602,L602,M602,N602,O602,P602)</f>
        <v>6786</v>
      </c>
      <c r="C602" s="152">
        <f t="shared" ref="C602:C603" si="1337">D602+E602</f>
        <v>2371</v>
      </c>
      <c r="D602" s="153">
        <f t="shared" si="1314"/>
        <v>1924</v>
      </c>
      <c r="E602" s="153">
        <f>+E603</f>
        <v>447</v>
      </c>
      <c r="F602" s="154">
        <f t="shared" si="1311"/>
        <v>218</v>
      </c>
      <c r="G602" s="155">
        <f>+G603</f>
        <v>0</v>
      </c>
      <c r="H602" s="155">
        <f t="shared" si="1315"/>
        <v>0</v>
      </c>
      <c r="I602" s="155">
        <f t="shared" si="1315"/>
        <v>218</v>
      </c>
      <c r="J602" s="155">
        <f t="shared" si="1315"/>
        <v>0</v>
      </c>
      <c r="K602" s="155">
        <f t="shared" si="1315"/>
        <v>0</v>
      </c>
      <c r="L602" s="155">
        <f t="shared" si="1315"/>
        <v>0</v>
      </c>
      <c r="M602" s="155">
        <f>+M603</f>
        <v>0</v>
      </c>
      <c r="N602" s="156">
        <f>+N603</f>
        <v>4197</v>
      </c>
      <c r="O602" s="155">
        <f t="shared" si="1315"/>
        <v>0</v>
      </c>
      <c r="P602" s="63">
        <f>P603</f>
        <v>0</v>
      </c>
    </row>
    <row r="603" spans="1:16" ht="16.2" x14ac:dyDescent="0.35">
      <c r="A603" s="157" t="s">
        <v>724</v>
      </c>
      <c r="B603" s="151">
        <f t="shared" ref="B603" si="1338">SUM(C603+F603,L603,M603,N603,O603,P603)</f>
        <v>6786</v>
      </c>
      <c r="C603" s="152">
        <f t="shared" si="1337"/>
        <v>2371</v>
      </c>
      <c r="D603" s="153">
        <v>1924</v>
      </c>
      <c r="E603" s="153">
        <v>447</v>
      </c>
      <c r="F603" s="154">
        <f t="shared" si="1311"/>
        <v>218</v>
      </c>
      <c r="G603" s="155"/>
      <c r="H603" s="155">
        <v>0</v>
      </c>
      <c r="I603" s="155">
        <v>218</v>
      </c>
      <c r="J603" s="155">
        <v>0</v>
      </c>
      <c r="K603" s="155"/>
      <c r="L603" s="155"/>
      <c r="M603" s="166"/>
      <c r="N603" s="156">
        <v>4197</v>
      </c>
      <c r="O603" s="155"/>
      <c r="P603" s="63"/>
    </row>
    <row r="604" spans="1:16" ht="32.4" x14ac:dyDescent="0.35">
      <c r="A604" s="202" t="s">
        <v>757</v>
      </c>
      <c r="B604" s="151">
        <f>SUM(C604+F604,L604,M604,N604,O604,P604)</f>
        <v>600</v>
      </c>
      <c r="C604" s="152">
        <f t="shared" ref="C604:C605" si="1339">D604+E604</f>
        <v>0</v>
      </c>
      <c r="D604" s="153">
        <f t="shared" si="1314"/>
        <v>0</v>
      </c>
      <c r="E604" s="153">
        <f>+E605</f>
        <v>0</v>
      </c>
      <c r="F604" s="154">
        <f t="shared" si="1311"/>
        <v>0</v>
      </c>
      <c r="G604" s="155">
        <f>+G605</f>
        <v>0</v>
      </c>
      <c r="H604" s="155">
        <f t="shared" si="1315"/>
        <v>0</v>
      </c>
      <c r="I604" s="155">
        <f t="shared" si="1315"/>
        <v>0</v>
      </c>
      <c r="J604" s="155">
        <f t="shared" si="1315"/>
        <v>0</v>
      </c>
      <c r="K604" s="155">
        <f t="shared" si="1315"/>
        <v>0</v>
      </c>
      <c r="L604" s="155">
        <f t="shared" si="1315"/>
        <v>600</v>
      </c>
      <c r="M604" s="155">
        <f>+M605</f>
        <v>0</v>
      </c>
      <c r="N604" s="156">
        <f>+N605</f>
        <v>0</v>
      </c>
      <c r="O604" s="155">
        <f t="shared" si="1315"/>
        <v>0</v>
      </c>
      <c r="P604" s="63">
        <f>P605</f>
        <v>0</v>
      </c>
    </row>
    <row r="605" spans="1:16" ht="16.2" x14ac:dyDescent="0.35">
      <c r="A605" s="157" t="s">
        <v>724</v>
      </c>
      <c r="B605" s="151">
        <f t="shared" ref="B605" si="1340">SUM(C605+F605,L605,M605,N605,O605,P605)</f>
        <v>600</v>
      </c>
      <c r="C605" s="152">
        <f t="shared" si="1339"/>
        <v>0</v>
      </c>
      <c r="D605" s="153">
        <v>0</v>
      </c>
      <c r="E605" s="153">
        <v>0</v>
      </c>
      <c r="F605" s="154">
        <f t="shared" si="1311"/>
        <v>0</v>
      </c>
      <c r="G605" s="155"/>
      <c r="H605" s="155">
        <v>0</v>
      </c>
      <c r="I605" s="155">
        <v>0</v>
      </c>
      <c r="J605" s="155">
        <v>0</v>
      </c>
      <c r="K605" s="155"/>
      <c r="L605" s="155">
        <v>600</v>
      </c>
      <c r="M605" s="166"/>
      <c r="N605" s="156">
        <v>0</v>
      </c>
      <c r="O605" s="155"/>
      <c r="P605" s="63"/>
    </row>
    <row r="606" spans="1:16" ht="32.4" x14ac:dyDescent="0.35">
      <c r="A606" s="202" t="s">
        <v>782</v>
      </c>
      <c r="B606" s="151">
        <f>SUM(C606+F606,L606,M606,N606,O606,P606)</f>
        <v>36006</v>
      </c>
      <c r="C606" s="152">
        <f t="shared" ref="C606:C607" si="1341">D606+E606</f>
        <v>0</v>
      </c>
      <c r="D606" s="153">
        <f t="shared" si="1314"/>
        <v>0</v>
      </c>
      <c r="E606" s="153">
        <f>+E607</f>
        <v>0</v>
      </c>
      <c r="F606" s="154">
        <f t="shared" si="1311"/>
        <v>36006</v>
      </c>
      <c r="G606" s="155">
        <f>+G607</f>
        <v>36006</v>
      </c>
      <c r="H606" s="155">
        <f t="shared" si="1315"/>
        <v>0</v>
      </c>
      <c r="I606" s="155">
        <f t="shared" si="1315"/>
        <v>0</v>
      </c>
      <c r="J606" s="155">
        <f t="shared" si="1315"/>
        <v>0</v>
      </c>
      <c r="K606" s="155">
        <f t="shared" si="1315"/>
        <v>0</v>
      </c>
      <c r="L606" s="155">
        <f t="shared" si="1315"/>
        <v>0</v>
      </c>
      <c r="M606" s="155">
        <f>+M607</f>
        <v>0</v>
      </c>
      <c r="N606" s="156">
        <f>+N607</f>
        <v>0</v>
      </c>
      <c r="O606" s="155">
        <f t="shared" si="1315"/>
        <v>0</v>
      </c>
      <c r="P606" s="63">
        <f>P607</f>
        <v>0</v>
      </c>
    </row>
    <row r="607" spans="1:16" ht="16.2" x14ac:dyDescent="0.35">
      <c r="A607" s="157" t="s">
        <v>724</v>
      </c>
      <c r="B607" s="151">
        <f t="shared" ref="B607" si="1342">SUM(C607+F607,L607,M607,N607,O607,P607)</f>
        <v>36006</v>
      </c>
      <c r="C607" s="152">
        <f t="shared" si="1341"/>
        <v>0</v>
      </c>
      <c r="D607" s="153">
        <v>0</v>
      </c>
      <c r="E607" s="153">
        <v>0</v>
      </c>
      <c r="F607" s="154">
        <f t="shared" si="1311"/>
        <v>36006</v>
      </c>
      <c r="G607" s="155">
        <v>36006</v>
      </c>
      <c r="H607" s="155">
        <v>0</v>
      </c>
      <c r="I607" s="155">
        <v>0</v>
      </c>
      <c r="J607" s="155">
        <v>0</v>
      </c>
      <c r="K607" s="155"/>
      <c r="L607" s="155">
        <v>0</v>
      </c>
      <c r="M607" s="166"/>
      <c r="N607" s="156">
        <v>0</v>
      </c>
      <c r="O607" s="155"/>
      <c r="P607" s="63"/>
    </row>
    <row r="608" spans="1:16" ht="16.2" x14ac:dyDescent="0.35">
      <c r="A608" s="202" t="s">
        <v>753</v>
      </c>
      <c r="B608" s="151">
        <f>SUM(C608+F608,L608,M608,N608,O608,P608)</f>
        <v>750</v>
      </c>
      <c r="C608" s="152">
        <f t="shared" ref="C608:C609" si="1343">D608+E608</f>
        <v>750</v>
      </c>
      <c r="D608" s="153">
        <f t="shared" si="1314"/>
        <v>750</v>
      </c>
      <c r="E608" s="153">
        <f>+E609</f>
        <v>0</v>
      </c>
      <c r="F608" s="154">
        <f t="shared" ref="F608:F609" si="1344">SUM(G608,H608,I608,J608,K608)</f>
        <v>0</v>
      </c>
      <c r="G608" s="155">
        <f>+G609</f>
        <v>0</v>
      </c>
      <c r="H608" s="155">
        <f t="shared" si="1315"/>
        <v>0</v>
      </c>
      <c r="I608" s="155">
        <f t="shared" si="1315"/>
        <v>0</v>
      </c>
      <c r="J608" s="155">
        <f t="shared" si="1315"/>
        <v>0</v>
      </c>
      <c r="K608" s="155">
        <f t="shared" si="1315"/>
        <v>0</v>
      </c>
      <c r="L608" s="155">
        <f t="shared" si="1315"/>
        <v>0</v>
      </c>
      <c r="M608" s="155">
        <f>+M609</f>
        <v>0</v>
      </c>
      <c r="N608" s="156">
        <f>+N609</f>
        <v>0</v>
      </c>
      <c r="O608" s="155">
        <f t="shared" si="1315"/>
        <v>0</v>
      </c>
      <c r="P608" s="63">
        <f>P609</f>
        <v>0</v>
      </c>
    </row>
    <row r="609" spans="1:16" ht="16.2" x14ac:dyDescent="0.35">
      <c r="A609" s="157" t="s">
        <v>724</v>
      </c>
      <c r="B609" s="151">
        <f t="shared" ref="B609" si="1345">SUM(C609+F609,L609,M609,N609,O609,P609)</f>
        <v>750</v>
      </c>
      <c r="C609" s="152">
        <f t="shared" si="1343"/>
        <v>750</v>
      </c>
      <c r="D609" s="153">
        <v>750</v>
      </c>
      <c r="E609" s="153">
        <v>0</v>
      </c>
      <c r="F609" s="154">
        <f t="shared" si="1344"/>
        <v>0</v>
      </c>
      <c r="G609" s="155">
        <v>0</v>
      </c>
      <c r="H609" s="155">
        <v>0</v>
      </c>
      <c r="I609" s="155">
        <v>0</v>
      </c>
      <c r="J609" s="155">
        <v>0</v>
      </c>
      <c r="K609" s="155"/>
      <c r="L609" s="155">
        <v>0</v>
      </c>
      <c r="M609" s="166"/>
      <c r="N609" s="156">
        <v>0</v>
      </c>
      <c r="O609" s="155"/>
      <c r="P609" s="63"/>
    </row>
    <row r="610" spans="1:16" ht="32.4" x14ac:dyDescent="0.35">
      <c r="A610" s="203" t="s">
        <v>754</v>
      </c>
      <c r="B610" s="151">
        <f>SUM(C610+F610,L610,M610,N610,O610,P610)</f>
        <v>46136</v>
      </c>
      <c r="C610" s="152">
        <f t="shared" ref="C610:C611" si="1346">D610+E610</f>
        <v>0</v>
      </c>
      <c r="D610" s="153">
        <f t="shared" si="1314"/>
        <v>0</v>
      </c>
      <c r="E610" s="153">
        <f>+E611</f>
        <v>0</v>
      </c>
      <c r="F610" s="154">
        <f t="shared" ref="F610:F611" si="1347">SUM(G610,H610,I610,J610,K610)</f>
        <v>46136</v>
      </c>
      <c r="G610" s="155">
        <f>+G611</f>
        <v>46136</v>
      </c>
      <c r="H610" s="155">
        <f t="shared" si="1315"/>
        <v>0</v>
      </c>
      <c r="I610" s="155">
        <f t="shared" si="1315"/>
        <v>0</v>
      </c>
      <c r="J610" s="155">
        <f t="shared" si="1315"/>
        <v>0</v>
      </c>
      <c r="K610" s="155">
        <f t="shared" si="1315"/>
        <v>0</v>
      </c>
      <c r="L610" s="155">
        <f t="shared" si="1315"/>
        <v>0</v>
      </c>
      <c r="M610" s="155">
        <f>+M611</f>
        <v>0</v>
      </c>
      <c r="N610" s="156">
        <f>+N611</f>
        <v>0</v>
      </c>
      <c r="O610" s="155">
        <f t="shared" si="1315"/>
        <v>0</v>
      </c>
      <c r="P610" s="63">
        <f>P611</f>
        <v>0</v>
      </c>
    </row>
    <row r="611" spans="1:16" ht="16.2" x14ac:dyDescent="0.35">
      <c r="A611" s="157" t="s">
        <v>724</v>
      </c>
      <c r="B611" s="151">
        <f t="shared" ref="B611" si="1348">SUM(C611+F611,L611,M611,N611,O611,P611)</f>
        <v>46136</v>
      </c>
      <c r="C611" s="152">
        <f t="shared" si="1346"/>
        <v>0</v>
      </c>
      <c r="D611" s="153">
        <v>0</v>
      </c>
      <c r="E611" s="153">
        <v>0</v>
      </c>
      <c r="F611" s="154">
        <f t="shared" si="1347"/>
        <v>46136</v>
      </c>
      <c r="G611" s="155">
        <v>46136</v>
      </c>
      <c r="H611" s="155">
        <v>0</v>
      </c>
      <c r="I611" s="155">
        <v>0</v>
      </c>
      <c r="J611" s="155">
        <v>0</v>
      </c>
      <c r="K611" s="155"/>
      <c r="L611" s="155">
        <v>0</v>
      </c>
      <c r="M611" s="166"/>
      <c r="N611" s="156">
        <v>0</v>
      </c>
      <c r="O611" s="155"/>
      <c r="P611" s="63"/>
    </row>
    <row r="612" spans="1:16" x14ac:dyDescent="0.3">
      <c r="A612" s="18" t="s">
        <v>38</v>
      </c>
      <c r="B612" s="167">
        <f>SUM(C612+F612,L612,M612,N612,O612,P612)</f>
        <v>41957831</v>
      </c>
      <c r="C612" s="169">
        <f t="shared" si="1158"/>
        <v>24514998</v>
      </c>
      <c r="D612" s="125">
        <v>19751529</v>
      </c>
      <c r="E612" s="125">
        <v>4763469</v>
      </c>
      <c r="F612" s="170">
        <f t="shared" si="1311"/>
        <v>9009646</v>
      </c>
      <c r="G612" s="166">
        <v>176239</v>
      </c>
      <c r="H612" s="166">
        <v>4890712</v>
      </c>
      <c r="I612" s="166">
        <v>3735862</v>
      </c>
      <c r="J612" s="166">
        <v>14213</v>
      </c>
      <c r="K612" s="166">
        <v>192620</v>
      </c>
      <c r="L612" s="166">
        <v>127750</v>
      </c>
      <c r="M612" s="166">
        <v>568062</v>
      </c>
      <c r="N612" s="168">
        <v>5494154</v>
      </c>
      <c r="O612" s="166">
        <v>1971586</v>
      </c>
      <c r="P612" s="171">
        <v>271635</v>
      </c>
    </row>
    <row r="613" spans="1:16" x14ac:dyDescent="0.3">
      <c r="A613" s="18" t="s">
        <v>724</v>
      </c>
      <c r="B613" s="167">
        <f>SUM(C613+F613,L613,M613,N613,O613,P613)</f>
        <v>680352</v>
      </c>
      <c r="C613" s="169">
        <f>D613+E613</f>
        <v>134837</v>
      </c>
      <c r="D613" s="175">
        <f>SUMPRODUCT((MOD(ROW(D18:D611),2)=1)*D18:D611)</f>
        <v>110602</v>
      </c>
      <c r="E613" s="175">
        <f>SUMPRODUCT((MOD(ROW(E18:E611),2)=1)*E18:E611)</f>
        <v>24235</v>
      </c>
      <c r="F613" s="170">
        <f t="shared" si="1311"/>
        <v>231573</v>
      </c>
      <c r="G613" s="175">
        <f>SUMPRODUCT((MOD(ROW(G18:G611),2)=1)*G18:G611)</f>
        <v>83142</v>
      </c>
      <c r="H613" s="175">
        <f t="shared" ref="H613:M613" si="1349">SUMPRODUCT((MOD(ROW(H18:H611),2)=1)*H18:H611)</f>
        <v>101242</v>
      </c>
      <c r="I613" s="175">
        <f t="shared" si="1349"/>
        <v>47057</v>
      </c>
      <c r="J613" s="175">
        <f t="shared" si="1349"/>
        <v>0</v>
      </c>
      <c r="K613" s="175">
        <f t="shared" si="1349"/>
        <v>132</v>
      </c>
      <c r="L613" s="175">
        <f t="shared" si="1349"/>
        <v>313148</v>
      </c>
      <c r="M613" s="175">
        <f t="shared" si="1349"/>
        <v>0</v>
      </c>
      <c r="N613" s="177">
        <f>SUMPRODUCT((MOD(ROW(N18:N611),2)=1)*N18:N611)</f>
        <v>794</v>
      </c>
      <c r="O613" s="175">
        <f>SUMPRODUCT((MOD(ROW(O18:O611),2)=1)*O18:O611)</f>
        <v>0</v>
      </c>
      <c r="P613" s="175">
        <f>SUMPRODUCT((MOD(ROW(P18:P611),2)=1)*P18:P611)</f>
        <v>0</v>
      </c>
    </row>
    <row r="614" spans="1:16" x14ac:dyDescent="0.3">
      <c r="A614" s="18" t="s">
        <v>750</v>
      </c>
      <c r="B614" s="175">
        <f t="shared" ref="B614:G614" si="1350">SUMPRODUCT((MOD(ROW(B18:B611),2)=0)*B18:B611)</f>
        <v>42638183</v>
      </c>
      <c r="C614" s="178">
        <f t="shared" si="1350"/>
        <v>24649835</v>
      </c>
      <c r="D614" s="175">
        <f t="shared" si="1350"/>
        <v>19862131</v>
      </c>
      <c r="E614" s="175">
        <f t="shared" si="1350"/>
        <v>4787704</v>
      </c>
      <c r="F614" s="176">
        <f t="shared" si="1350"/>
        <v>9241219</v>
      </c>
      <c r="G614" s="175">
        <f t="shared" si="1350"/>
        <v>259381</v>
      </c>
      <c r="H614" s="175">
        <f t="shared" ref="H614:M614" si="1351">SUMPRODUCT((MOD(ROW(H18:H611),2)=0)*H18:H611)</f>
        <v>4991954</v>
      </c>
      <c r="I614" s="175">
        <f t="shared" si="1351"/>
        <v>3782919</v>
      </c>
      <c r="J614" s="175">
        <f t="shared" si="1351"/>
        <v>14213</v>
      </c>
      <c r="K614" s="175">
        <f t="shared" si="1351"/>
        <v>192752</v>
      </c>
      <c r="L614" s="175">
        <f t="shared" si="1351"/>
        <v>440898</v>
      </c>
      <c r="M614" s="175">
        <f t="shared" si="1351"/>
        <v>568062</v>
      </c>
      <c r="N614" s="177">
        <f>SUMPRODUCT((MOD(ROW(N18:N611),2)=0)*N18:N611)</f>
        <v>5494948</v>
      </c>
      <c r="O614" s="175">
        <f>SUMPRODUCT((MOD(ROW(O18:O611),2)=0)*O18:O611)</f>
        <v>1971586</v>
      </c>
      <c r="P614" s="175">
        <f>SUMPRODUCT((MOD(ROW(P18:P611),2)=0)*P18:P611)</f>
        <v>271635</v>
      </c>
    </row>
    <row r="615" spans="1:16" x14ac:dyDescent="0.3">
      <c r="A615" s="140"/>
      <c r="B615" s="190"/>
      <c r="C615" s="190"/>
      <c r="D615" s="190"/>
      <c r="E615" s="190"/>
      <c r="F615" s="190"/>
      <c r="G615" s="190"/>
      <c r="H615" s="190"/>
      <c r="I615" s="190"/>
      <c r="J615" s="190"/>
      <c r="K615" s="190"/>
      <c r="L615" s="190"/>
      <c r="M615" s="190"/>
      <c r="N615" s="190"/>
      <c r="O615" s="190"/>
      <c r="P615" s="190"/>
    </row>
    <row r="616" spans="1:16" x14ac:dyDescent="0.3">
      <c r="A616" s="181"/>
      <c r="B616" s="182"/>
      <c r="C616" s="183"/>
      <c r="D616" s="183"/>
      <c r="E616" s="184"/>
      <c r="F616" s="184"/>
      <c r="G616" s="184"/>
      <c r="H616" s="184"/>
      <c r="I616" s="184"/>
      <c r="J616" s="184"/>
      <c r="K616" s="184"/>
      <c r="L616" s="184"/>
      <c r="M616" s="184"/>
      <c r="N616" s="186"/>
      <c r="O616" s="186"/>
    </row>
    <row r="617" spans="1:16" x14ac:dyDescent="0.3">
      <c r="A617" s="211" t="s">
        <v>797</v>
      </c>
      <c r="B617" s="211"/>
      <c r="C617" s="211"/>
      <c r="D617" s="211"/>
      <c r="E617" s="211"/>
      <c r="F617" s="211"/>
      <c r="G617" s="211"/>
      <c r="H617" s="211"/>
      <c r="I617" s="211"/>
      <c r="J617" s="211"/>
      <c r="K617" s="211"/>
      <c r="L617" s="211"/>
      <c r="M617" s="211"/>
      <c r="N617" s="211"/>
      <c r="O617" s="211"/>
      <c r="P617" s="211"/>
    </row>
    <row r="618" spans="1:16" x14ac:dyDescent="0.3">
      <c r="D618" s="188"/>
    </row>
    <row r="619" spans="1:16" x14ac:dyDescent="0.3">
      <c r="D619" s="188"/>
      <c r="E619" s="184"/>
      <c r="F619" s="184"/>
      <c r="G619" s="185"/>
      <c r="H619" s="185"/>
      <c r="M619" s="189"/>
      <c r="O619" s="132"/>
    </row>
    <row r="620" spans="1:16" x14ac:dyDescent="0.3">
      <c r="C620" s="188"/>
      <c r="D620" s="188"/>
      <c r="E620" s="184"/>
      <c r="F620" s="184"/>
      <c r="G620" s="185"/>
      <c r="H620" s="185"/>
      <c r="I620" s="189"/>
      <c r="J620" s="189"/>
      <c r="K620" s="189"/>
      <c r="L620" s="189"/>
      <c r="N620" s="189"/>
      <c r="O620" s="189"/>
    </row>
    <row r="621" spans="1:16" x14ac:dyDescent="0.3">
      <c r="E621" s="184"/>
      <c r="F621" s="184"/>
      <c r="G621" s="185"/>
      <c r="H621" s="185"/>
    </row>
    <row r="622" spans="1:16" x14ac:dyDescent="0.3">
      <c r="E622" s="184"/>
      <c r="F622" s="184"/>
      <c r="G622" s="185"/>
      <c r="H622" s="185"/>
    </row>
    <row r="623" spans="1:16" x14ac:dyDescent="0.3">
      <c r="E623" s="184"/>
      <c r="F623" s="184"/>
      <c r="G623" s="185"/>
      <c r="H623" s="185"/>
    </row>
    <row r="626" spans="7:12" x14ac:dyDescent="0.3">
      <c r="G626" s="189"/>
      <c r="H626" s="189"/>
      <c r="I626" s="189"/>
      <c r="J626" s="189"/>
      <c r="K626" s="189"/>
      <c r="L626" s="189"/>
    </row>
  </sheetData>
  <mergeCells count="7">
    <mergeCell ref="A617:P617"/>
    <mergeCell ref="B6:D10"/>
    <mergeCell ref="C14:E14"/>
    <mergeCell ref="A6:A14"/>
    <mergeCell ref="A15:A17"/>
    <mergeCell ref="B15:B17"/>
    <mergeCell ref="B12:P12"/>
  </mergeCells>
  <printOptions horizontalCentered="1"/>
  <pageMargins left="0.70866141732283505" right="0.70866141732283505" top="0.74803149606299202" bottom="0.74803149606299202" header="0.31496062992126" footer="0.31496062992126"/>
  <pageSetup paperSize="9" scale="53" fitToHeight="0" orientation="landscape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1.pielikums</vt:lpstr>
      <vt:lpstr>2.pielikums</vt:lpstr>
      <vt:lpstr>3.pielikums</vt:lpstr>
      <vt:lpstr>4.pielikums</vt:lpstr>
      <vt:lpstr>'4.pielikums'!Print_Area</vt:lpstr>
    </vt:vector>
  </TitlesOfParts>
  <Manager/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Sanita Djadela</cp:lastModifiedBy>
  <cp:lastPrinted>2026-07-10T05:20:07Z</cp:lastPrinted>
  <dcterms:created xsi:type="dcterms:W3CDTF">2014-01-31T18:56:56Z</dcterms:created>
  <dcterms:modified xsi:type="dcterms:W3CDTF">2026-07-20T08:36:03Z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