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Metadata/LabelInfo.xml" ContentType="application/vnd.ms-office.classificationlabel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5815" windowHeight="13905" tabRatio="1000"/>
  </bookViews>
  <sheets>
    <sheet name="Kopsavilkums" sheetId="18" r:id="rId1"/>
    <sheet name="1.1.2." sheetId="59" r:id="rId2"/>
    <sheet name="1.1.5." sheetId="63" r:id="rId3"/>
    <sheet name="1.1.4.1." sheetId="37" r:id="rId4"/>
    <sheet name="2.1.2.1." sheetId="61" r:id="rId5"/>
    <sheet name="2.1.2.2" sheetId="41" r:id="rId6"/>
    <sheet name="2.1.5.1." sheetId="60" r:id="rId7"/>
    <sheet name="2.1.5.2." sheetId="33" r:id="rId8"/>
    <sheet name="2.1.5.3." sheetId="62" r:id="rId9"/>
    <sheet name="2.1.6.1." sheetId="5" r:id="rId10"/>
    <sheet name="2.1.6.2" sheetId="42" r:id="rId11"/>
    <sheet name="2.1.7." sheetId="6" r:id="rId12"/>
    <sheet name="2.1.8." sheetId="24" r:id="rId13"/>
    <sheet name="2.1.9." sheetId="43" r:id="rId14"/>
    <sheet name="2.2.1." sheetId="34" r:id="rId15"/>
    <sheet name="2.2.2" sheetId="44" r:id="rId16"/>
    <sheet name="2.2.3.1" sheetId="45" r:id="rId17"/>
    <sheet name="2.2.3.2." sheetId="38" r:id="rId18"/>
    <sheet name="2.2.3.3" sheetId="46" r:id="rId19"/>
    <sheet name="2.2.4.1." sheetId="15" r:id="rId20"/>
    <sheet name="2.2.4.2" sheetId="47" r:id="rId21"/>
    <sheet name="2.2.6." sheetId="48" r:id="rId22"/>
    <sheet name="2.2.7." sheetId="53" r:id="rId23"/>
    <sheet name="2.3.1.1.-2.3.1.3.,2.3.2.-2.3.5." sheetId="35" r:id="rId24"/>
    <sheet name="2.4.1" sheetId="56" r:id="rId25"/>
    <sheet name="2.4.3.1.-2.4.3.2." sheetId="31" r:id="rId26"/>
    <sheet name="2.4.4." sheetId="20" r:id="rId27"/>
    <sheet name="2.4.5.1. " sheetId="16" r:id="rId28"/>
    <sheet name="2.4.5.2. " sheetId="10" r:id="rId29"/>
    <sheet name="2.4.6" sheetId="11" r:id="rId30"/>
    <sheet name="2.4.7." sheetId="8" r:id="rId31"/>
    <sheet name="2.6.1" sheetId="57" r:id="rId32"/>
    <sheet name="3.1.1.1." sheetId="58" r:id="rId33"/>
    <sheet name="3.1.1.2." sheetId="49" r:id="rId34"/>
    <sheet name="3.1.2." sheetId="50" r:id="rId35"/>
    <sheet name="3.1.3." sheetId="51" r:id="rId36"/>
    <sheet name="3.1.4" sheetId="52" r:id="rId37"/>
    <sheet name="3.1.5" sheetId="55" r:id="rId38"/>
  </sheets>
  <externalReferences>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s>
  <definedNames>
    <definedName name="_1_2_d_NMP_lim">#REF!</definedName>
    <definedName name="_xlnm._FilterDatabase" localSheetId="0" hidden="1">Kopsavilkums!$A$5:$P$109</definedName>
    <definedName name="_Hlk199328070">Kopsavilkums!$C$86</definedName>
    <definedName name="_Hlk200019317">Kopsavilkums!$C$52</definedName>
    <definedName name="_Hlk200028924">Kopsavilkums!$C$73</definedName>
    <definedName name="_msoanchor_1">Kopsavilkums!$N$39</definedName>
    <definedName name="aa">#REF!</definedName>
    <definedName name="_xlnm.Auto_Open">#REF!</definedName>
    <definedName name="b">#REF!</definedName>
    <definedName name="BEx3ATHHUCGCIRND8KLAREDV3L40" localSheetId="2" hidden="1">[1]HEADER!#REF!</definedName>
    <definedName name="BEx3ATHHUCGCIRND8KLAREDV3L40" hidden="1">[2]HEADER!#REF!</definedName>
    <definedName name="BEx3QB2RILYEXIROLAFCWQMOJXMN" localSheetId="2" hidden="1">[1]HEADER!#REF!</definedName>
    <definedName name="BEx3QB2RILYEXIROLAFCWQMOJXMN" hidden="1">[2]HEADER!#REF!</definedName>
    <definedName name="BEx3RIJ9LXPXWNF4BFBFA4ILG6AY" localSheetId="2" hidden="1">[1]HEADER!#REF!</definedName>
    <definedName name="BEx3RIJ9LXPXWNF4BFBFA4ILG6AY" hidden="1">[2]HEADER!#REF!</definedName>
    <definedName name="BEx3T3XEKJ0I8634YNR6MPN3OBQL" localSheetId="2" hidden="1">[1]HEADER!#REF!</definedName>
    <definedName name="BEx3T3XEKJ0I8634YNR6MPN3OBQL" hidden="1">[2]HEADER!#REF!</definedName>
    <definedName name="BEx73MBHXPGN5MLC2IC6RCMRLO6D" localSheetId="2" hidden="1">[1]HEADER!#REF!</definedName>
    <definedName name="BEx73MBHXPGN5MLC2IC6RCMRLO6D" hidden="1">[2]HEADER!#REF!</definedName>
    <definedName name="BEx7KKYHXVDNTR0VZKUAIUQCSOP9" localSheetId="2" hidden="1">[1]HEADER!#REF!</definedName>
    <definedName name="BEx7KKYHXVDNTR0VZKUAIUQCSOP9" hidden="1">[2]HEADER!#REF!</definedName>
    <definedName name="BEx9EDPXWEPLE7S1KH5K8GGFZKC0" localSheetId="2" hidden="1">[1]HEADER!#REF!</definedName>
    <definedName name="BEx9EDPXWEPLE7S1KH5K8GGFZKC0" hidden="1">[2]HEADER!#REF!</definedName>
    <definedName name="BExBE9K6C6Q27ZVX3WOCP2J41BHY" localSheetId="2" hidden="1">[1]HEADER!#REF!</definedName>
    <definedName name="BExBE9K6C6Q27ZVX3WOCP2J41BHY" hidden="1">[2]HEADER!#REF!</definedName>
    <definedName name="BExCQGR4Z3D1E5XRGMT5VWBAFBXW" localSheetId="2" hidden="1">[1]ZQZBC_PLN__04_03_10!#REF!</definedName>
    <definedName name="BExCQGR4Z3D1E5XRGMT5VWBAFBXW" hidden="1">[2]ZQZBC_PLN__04_03_10!#REF!</definedName>
    <definedName name="BExMP7OQLL0R8VO1CGH6H677G4ZU" localSheetId="2" hidden="1">[1]HEADER!#REF!</definedName>
    <definedName name="BExMP7OQLL0R8VO1CGH6H677G4ZU" hidden="1">[2]HEADER!#REF!</definedName>
    <definedName name="BExO50CMJCMLOGHRH7OH9FMGVTSS" localSheetId="2" hidden="1">[1]HEADER!#REF!</definedName>
    <definedName name="BExO50CMJCMLOGHRH7OH9FMGVTSS" hidden="1">[2]HEADER!#REF!</definedName>
    <definedName name="BExOA3RQ9DFFMJC5QYZ23ZT9RUN8" localSheetId="2" hidden="1">[1]HEADER!#REF!</definedName>
    <definedName name="BExOA3RQ9DFFMJC5QYZ23ZT9RUN8" hidden="1">[2]HEADER!#REF!</definedName>
    <definedName name="BExS6S40JMF44ZTMXW3UE4WW9B54" localSheetId="2" hidden="1">[1]HEADER!#REF!</definedName>
    <definedName name="BExS6S40JMF44ZTMXW3UE4WW9B54" hidden="1">[2]HEADER!#REF!</definedName>
    <definedName name="BExU5I577AMALET6AIZ4P1LRV9CU" localSheetId="2" hidden="1">[1]ZQZBC_PLN__04_03_10!#REF!</definedName>
    <definedName name="BExU5I577AMALET6AIZ4P1LRV9CU" hidden="1">[2]ZQZBC_PLN__04_03_10!#REF!</definedName>
    <definedName name="BExU7EBQBMZVYUSS9YS0I4JESH9L" localSheetId="2" hidden="1">[1]HEADER!#REF!</definedName>
    <definedName name="BExU7EBQBMZVYUSS9YS0I4JESH9L" hidden="1">[2]HEADER!#REF!</definedName>
    <definedName name="BExUC9I2YXGSCVE8W0KZ56D3E9UX" localSheetId="2" hidden="1">[1]HEADER!#REF!</definedName>
    <definedName name="BExUC9I2YXGSCVE8W0KZ56D3E9UX" hidden="1">[2]HEADER!#REF!</definedName>
    <definedName name="BExZJQJI4H09EC94GXCLZDAB05VB" localSheetId="2" hidden="1">[1]HEADER!#REF!</definedName>
    <definedName name="BExZJQJI4H09EC94GXCLZDAB05VB" hidden="1">[2]HEADER!#REF!</definedName>
    <definedName name="bt">#REF!</definedName>
    <definedName name="BX">#REF!</definedName>
    <definedName name="CalendarYear">#REF!</definedName>
    <definedName name="ccc">#REF!</definedName>
    <definedName name="d">#REF!</definedName>
    <definedName name="D_Evija3">#REF!</definedName>
    <definedName name="DaysAndWeeks" localSheetId="1">{0,1,2,3,4,5,6} + {0;1;2;3;4;5}*7</definedName>
    <definedName name="DaysAndWeeks" localSheetId="2">{0,1,2,3,4,5,6} + {0;1;2;3;4;5}*7</definedName>
    <definedName name="DaysAndWeeks" localSheetId="4">{0,1,2,3,4,5,6} + {0;1;2;3;4;5}*7</definedName>
    <definedName name="DaysAndWeeks" localSheetId="17">{0,1,2,3,4,5,6} + {0;1;2;3;4;5}*7</definedName>
    <definedName name="DaysAndWeeks" localSheetId="25">{0,1,2,3,4,5,6} + {0;1;2;3;4;5}*7</definedName>
    <definedName name="DaysAndWeeks">{0,1,2,3,4,5,6} + {0;1;2;3;4;5}*7</definedName>
    <definedName name="de">#REF!</definedName>
    <definedName name="dff">#NAME?</definedName>
    <definedName name="DRGNAMES">#REF!</definedName>
    <definedName name="e">#REF!</definedName>
    <definedName name="ee">#REF!</definedName>
    <definedName name="Excel_BuiltIn__FilterDatabase_2">#REF!</definedName>
    <definedName name="Excel_BuiltIn__FilterDatabase_3">#REF!</definedName>
    <definedName name="Excel_BuiltIn_Print_Titles_2">#REF!</definedName>
    <definedName name="Excel_BuiltIn_Print_Titles_3">#REF!</definedName>
    <definedName name="gad_skaits">#REF!</definedName>
    <definedName name="gad_skaits_1">#REF!</definedName>
    <definedName name="gala" localSheetId="1">{0,1,2,3,4,5,6} + {0;1;2;3;4;5}*7</definedName>
    <definedName name="gala" localSheetId="2">{0,1,2,3,4,5,6} + {0;1;2;3;4;5}*7</definedName>
    <definedName name="gala" localSheetId="4">{0,1,2,3,4,5,6} + {0;1;2;3;4;5}*7</definedName>
    <definedName name="gala" localSheetId="17">{0,1,2,3,4,5,6} + {0;1;2;3;4;5}*7</definedName>
    <definedName name="gala" localSheetId="25">{0,1,2,3,4,5,6} + {0;1;2;3;4;5}*7</definedName>
    <definedName name="gala">{0,1,2,3,4,5,6} + {0;1;2;3;4;5}*7</definedName>
    <definedName name="Gala_kopsavilkums">#REF!</definedName>
    <definedName name="gggg">#REF!</definedName>
    <definedName name="ghy">#REF!</definedName>
    <definedName name="h">#REF!</definedName>
    <definedName name="hh">#REF!</definedName>
    <definedName name="hjh">#REF!</definedName>
    <definedName name="hyh">#REF!</definedName>
    <definedName name="i">#REF!</definedName>
    <definedName name="izm.kods">#REF!</definedName>
    <definedName name="izm.kods_1" localSheetId="2">[3]izm.posteni!$A$2:$A$216</definedName>
    <definedName name="izm.kods_1">[4]izm.posteni!$A$2:$A$216</definedName>
    <definedName name="izm.nos">#REF!</definedName>
    <definedName name="izm.nos_1" localSheetId="2">[3]izm.posteni!$B$2:$B$216</definedName>
    <definedName name="izm.nos_1">[4]izm.posteni!$B$2:$B$216</definedName>
    <definedName name="jhg">#REF!</definedName>
    <definedName name="kk">#REF!</definedName>
    <definedName name="l">#REF!</definedName>
    <definedName name="Limeni_7_9group">#REF!</definedName>
    <definedName name="Macro1">#REF!</definedName>
    <definedName name="Macro2">#REF!</definedName>
    <definedName name="Macro3">#REF!</definedName>
    <definedName name="Macro4">#REF!</definedName>
    <definedName name="Macro5">#REF!</definedName>
    <definedName name="Macro6">#REF!</definedName>
    <definedName name="Macro7">#REF!</definedName>
    <definedName name="Macro8">#REF!</definedName>
    <definedName name="mmm" localSheetId="2" hidden="1">[1]ZQZBC_PLN__04_03_10!#REF!</definedName>
    <definedName name="mmm" hidden="1">[2]ZQZBC_PLN__04_03_10!#REF!</definedName>
    <definedName name="n">#REF!</definedName>
    <definedName name="P_Dati_rikojums">#REF!</definedName>
    <definedName name="pp">#REF!</definedName>
    <definedName name="_xlnm.Print_Area" localSheetId="2">'1.1.5.'!$A$1:$G$43</definedName>
    <definedName name="_xlnm.Print_Area" localSheetId="7">'2.1.5.2.'!$A$1:$H$20</definedName>
    <definedName name="_xlnm.Print_Area" localSheetId="12">'2.1.8.'!$A$1:$AD$27</definedName>
    <definedName name="_xlnm.Print_Area" localSheetId="14">'2.2.1.'!$A$1:$Y$69</definedName>
    <definedName name="_xlnm.Print_Area" localSheetId="23">'2.3.1.1.-2.3.1.3.,2.3.2.-2.3.5.'!$A$1:$M$27</definedName>
    <definedName name="_xlnm.Print_Area" localSheetId="25">'2.4.3.1.-2.4.3.2.'!$A$1:$W$69</definedName>
    <definedName name="_xlnm.Print_Area" localSheetId="26">'2.4.4.'!$A$1:$AD$29</definedName>
    <definedName name="_xlnm.Print_Area" localSheetId="27">'2.4.5.1. '!$A$1:$I$17</definedName>
    <definedName name="_xlnm.Print_Area" localSheetId="28">'2.4.5.2. '!$A$1:$Q$25</definedName>
    <definedName name="Recover" localSheetId="1">[5]Macro1!$A$135</definedName>
    <definedName name="Recover">[6]Macro1!$A$135</definedName>
    <definedName name="Rikojums2222" localSheetId="1">[7]Macro1!$A$106</definedName>
    <definedName name="Rikojums2222">[8]Macro1!$A$106</definedName>
    <definedName name="rr">#REF!</definedName>
    <definedName name="rt">#REF!</definedName>
    <definedName name="rty">#REF!</definedName>
    <definedName name="S5\">#REF!</definedName>
    <definedName name="ss">#REF!</definedName>
    <definedName name="Str.">#REF!</definedName>
    <definedName name="Str.vien.nos.">#REF!</definedName>
    <definedName name="Struktura">#REF!</definedName>
    <definedName name="Struktūrvien.kodi2">#REF!</definedName>
    <definedName name="Struktūrvien.kodi2_1" localSheetId="2">[3]strukturkodi!$B$2:$B$232</definedName>
    <definedName name="Struktūrvien.kodi2_1">[4]strukturkodi!$B$2:$B$232</definedName>
    <definedName name="Struktūrvien.kods">#REF!</definedName>
    <definedName name="Struktūrvien.kods_1" localSheetId="2">[3]strukturkodi!$A$2:$A$232</definedName>
    <definedName name="Struktūrvien.kods_1">[4]strukturkodi!$A$2:$A$232</definedName>
    <definedName name="T13l6" localSheetId="2">[9]ATSKAITE_2v!#REF!</definedName>
    <definedName name="T13l6">[10]ATSKAITE_2v!#REF!</definedName>
    <definedName name="TableName">"Dummy"</definedName>
    <definedName name="Tarifs_28">#REF!</definedName>
    <definedName name="TWO_LINKS" localSheetId="2">'[11]8.1.'!$C$5</definedName>
    <definedName name="TWO_LINKS">'[12]8.1.'!$C$5</definedName>
    <definedName name="ty">#REF!</definedName>
    <definedName name="tyuj">#REF!</definedName>
    <definedName name="u">#REF!</definedName>
    <definedName name="U_N_A">#REF!</definedName>
    <definedName name="wedr">#REF!</definedName>
    <definedName name="WeekStart">#REF!</definedName>
    <definedName name="x">#REF!</definedName>
    <definedName name="XBD" localSheetId="2">[13]Dati!$B$6</definedName>
    <definedName name="XBD">[14]Dati!$B$6</definedName>
    <definedName name="XDD" localSheetId="2">[13]Dati!$B$4</definedName>
    <definedName name="XDD">[14]Dati!$B$4</definedName>
    <definedName name="XDS" localSheetId="2">[13]Dati!$B$5</definedName>
    <definedName name="XDS">[14]Dati!$B$5</definedName>
    <definedName name="XSVD" localSheetId="2">[13]Dati!$B$7</definedName>
    <definedName name="XSVD">[14]Dati!$B$7</definedName>
    <definedName name="xxxx">#REF!</definedName>
    <definedName name="yuh">#REF!</definedName>
    <definedName name="yyyy">#REF!</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9" i="31" l="1"/>
  <c r="W28" i="31"/>
  <c r="F17" i="18"/>
  <c r="C18" i="63"/>
  <c r="C17" i="63"/>
  <c r="C16" i="63"/>
  <c r="C15" i="63"/>
  <c r="C13" i="63"/>
  <c r="C12" i="63"/>
  <c r="C11" i="63"/>
  <c r="K13" i="18"/>
  <c r="F14" i="18"/>
  <c r="G14" i="18"/>
  <c r="H14" i="18"/>
  <c r="I14" i="18"/>
  <c r="F13" i="18"/>
  <c r="G13" i="18"/>
  <c r="H13" i="18"/>
  <c r="I13" i="18"/>
  <c r="H22" i="18"/>
  <c r="I22" i="18"/>
  <c r="B14" i="63"/>
  <c r="B10" i="63"/>
  <c r="C10" i="63" l="1"/>
  <c r="F10" i="63" s="1"/>
  <c r="C14" i="63"/>
  <c r="G44" i="18"/>
  <c r="C5" i="62"/>
  <c r="F14" i="63" l="1"/>
  <c r="F19" i="63" s="1"/>
  <c r="F22" i="63"/>
  <c r="D6" i="63" s="1"/>
  <c r="F21" i="63"/>
  <c r="D5" i="63" s="1"/>
  <c r="K18" i="62"/>
  <c r="J18" i="62"/>
  <c r="H18" i="62"/>
  <c r="K17" i="62"/>
  <c r="K19" i="62" s="1"/>
  <c r="J17" i="62"/>
  <c r="H17" i="62"/>
  <c r="H19" i="62" s="1"/>
  <c r="K16" i="62"/>
  <c r="J16" i="62"/>
  <c r="H16" i="62"/>
  <c r="L38" i="18"/>
  <c r="J38" i="18"/>
  <c r="C32" i="61"/>
  <c r="G26" i="61"/>
  <c r="I12" i="61" s="1"/>
  <c r="J12" i="61" s="1"/>
  <c r="C26" i="61"/>
  <c r="I10" i="61" s="1"/>
  <c r="J10" i="61" s="1"/>
  <c r="B17" i="61"/>
  <c r="I11" i="61"/>
  <c r="J11" i="61" s="1"/>
  <c r="G11" i="61"/>
  <c r="H11" i="61" s="1"/>
  <c r="E11" i="61"/>
  <c r="F11" i="61" s="1"/>
  <c r="G10" i="61"/>
  <c r="H10" i="61" s="1"/>
  <c r="E10" i="61"/>
  <c r="F10" i="61" s="1"/>
  <c r="E6" i="63" l="1"/>
  <c r="J30" i="18"/>
  <c r="E5" i="63"/>
  <c r="J29" i="18"/>
  <c r="D5" i="61"/>
  <c r="J13" i="61"/>
  <c r="E5" i="61"/>
  <c r="F13" i="61"/>
  <c r="B5" i="61"/>
  <c r="E12" i="61"/>
  <c r="F12" i="61" s="1"/>
  <c r="C5" i="61" s="1"/>
  <c r="G12" i="61"/>
  <c r="H12" i="61" s="1"/>
  <c r="H13" i="61" s="1"/>
  <c r="F5" i="63" l="1"/>
  <c r="L29" i="18"/>
  <c r="F6" i="63"/>
  <c r="K14" i="18"/>
  <c r="L90" i="18"/>
  <c r="J90" i="18"/>
  <c r="L89" i="18"/>
  <c r="J89" i="18"/>
  <c r="D6" i="11"/>
  <c r="C6" i="11"/>
  <c r="J88" i="18"/>
  <c r="J87" i="18"/>
  <c r="L86" i="18"/>
  <c r="J86" i="18"/>
  <c r="L76" i="18"/>
  <c r="J76" i="18"/>
  <c r="F6" i="35"/>
  <c r="E6" i="35"/>
  <c r="L69" i="18"/>
  <c r="L70" i="18"/>
  <c r="L71" i="18"/>
  <c r="L72" i="18"/>
  <c r="L73" i="18"/>
  <c r="L68" i="18"/>
  <c r="J69" i="18"/>
  <c r="J70" i="18"/>
  <c r="J71" i="18"/>
  <c r="J72" i="18"/>
  <c r="J73" i="18"/>
  <c r="J68" i="18"/>
  <c r="L61" i="18"/>
  <c r="L60" i="18"/>
  <c r="J61" i="18"/>
  <c r="J60" i="18"/>
  <c r="L58" i="18"/>
  <c r="L57" i="18"/>
  <c r="J58" i="18"/>
  <c r="J57" i="18"/>
  <c r="L54" i="18"/>
  <c r="J54" i="18"/>
  <c r="G6" i="63" l="1"/>
  <c r="L30" i="18"/>
  <c r="K22" i="18"/>
  <c r="G5" i="63"/>
  <c r="L49" i="18"/>
  <c r="J49" i="18"/>
  <c r="L46" i="18"/>
  <c r="L45" i="18"/>
  <c r="J46" i="18"/>
  <c r="J45" i="18"/>
  <c r="L43" i="18"/>
  <c r="J43" i="18"/>
  <c r="L42" i="18"/>
  <c r="J42" i="18"/>
  <c r="F5" i="60"/>
  <c r="E5" i="60"/>
  <c r="C65" i="60"/>
  <c r="D65" i="60" s="1"/>
  <c r="C64" i="60"/>
  <c r="D64" i="60" s="1"/>
  <c r="C63" i="60"/>
  <c r="D63" i="60" s="1"/>
  <c r="C62" i="60"/>
  <c r="D62" i="60" s="1"/>
  <c r="C61" i="60"/>
  <c r="D61" i="60" s="1"/>
  <c r="C60" i="60"/>
  <c r="D60" i="60" s="1"/>
  <c r="C59" i="60"/>
  <c r="D59" i="60" s="1"/>
  <c r="C58" i="60"/>
  <c r="D58" i="60" s="1"/>
  <c r="C57" i="60"/>
  <c r="D57" i="60" s="1"/>
  <c r="C56" i="60"/>
  <c r="D56" i="60" s="1"/>
  <c r="C55" i="60"/>
  <c r="D55" i="60" s="1"/>
  <c r="C54" i="60"/>
  <c r="D54" i="60" s="1"/>
  <c r="C53" i="60"/>
  <c r="D53" i="60" s="1"/>
  <c r="C52" i="60"/>
  <c r="D52" i="60" s="1"/>
  <c r="C51" i="60"/>
  <c r="D51" i="60" s="1"/>
  <c r="C50" i="60"/>
  <c r="D50" i="60" s="1"/>
  <c r="C49" i="60"/>
  <c r="D49" i="60" s="1"/>
  <c r="C48" i="60"/>
  <c r="D48" i="60" s="1"/>
  <c r="C47" i="60"/>
  <c r="D47" i="60" s="1"/>
  <c r="C46" i="60"/>
  <c r="D46" i="60" s="1"/>
  <c r="C45" i="60"/>
  <c r="D45" i="60" s="1"/>
  <c r="C44" i="60"/>
  <c r="D44" i="60" s="1"/>
  <c r="C43" i="60"/>
  <c r="D43" i="60" s="1"/>
  <c r="E43" i="60" s="1"/>
  <c r="C42" i="60"/>
  <c r="D42" i="60" s="1"/>
  <c r="C41" i="60"/>
  <c r="D41" i="60" s="1"/>
  <c r="E41" i="60" s="1"/>
  <c r="C40" i="60"/>
  <c r="D40" i="60" s="1"/>
  <c r="C39" i="60"/>
  <c r="D39" i="60" s="1"/>
  <c r="E39" i="60" s="1"/>
  <c r="C38" i="60"/>
  <c r="D38" i="60" s="1"/>
  <c r="C37" i="60"/>
  <c r="D37" i="60" s="1"/>
  <c r="C36" i="60"/>
  <c r="D36" i="60" s="1"/>
  <c r="C35" i="60"/>
  <c r="D35" i="60" s="1"/>
  <c r="C34" i="60"/>
  <c r="D34" i="60" s="1"/>
  <c r="C33" i="60"/>
  <c r="D33" i="60" s="1"/>
  <c r="E33" i="60" s="1"/>
  <c r="C32" i="60"/>
  <c r="D32" i="60" s="1"/>
  <c r="C31" i="60"/>
  <c r="D31" i="60" s="1"/>
  <c r="C30" i="60"/>
  <c r="D30" i="60" s="1"/>
  <c r="C29" i="60"/>
  <c r="D29" i="60" s="1"/>
  <c r="C28" i="60"/>
  <c r="D28" i="60" s="1"/>
  <c r="C27" i="60"/>
  <c r="D27" i="60" s="1"/>
  <c r="E27" i="60" s="1"/>
  <c r="C26" i="60"/>
  <c r="D26" i="60" s="1"/>
  <c r="C25" i="60"/>
  <c r="D25" i="60" s="1"/>
  <c r="E25" i="60" s="1"/>
  <c r="D12" i="60"/>
  <c r="B5" i="60"/>
  <c r="G24" i="18"/>
  <c r="G22" i="18" s="1"/>
  <c r="F22" i="18"/>
  <c r="B5" i="59"/>
  <c r="C5" i="59"/>
  <c r="J12" i="59"/>
  <c r="K12" i="59" s="1"/>
  <c r="K13" i="59" s="1"/>
  <c r="H12" i="59"/>
  <c r="H13" i="59" s="1"/>
  <c r="E30" i="60" l="1"/>
  <c r="F30" i="60" s="1"/>
  <c r="E35" i="60"/>
  <c r="F35" i="60" s="1"/>
  <c r="E38" i="60"/>
  <c r="F38" i="60" s="1"/>
  <c r="E46" i="60"/>
  <c r="F46" i="60" s="1"/>
  <c r="E51" i="60"/>
  <c r="F51" i="60" s="1"/>
  <c r="E59" i="60"/>
  <c r="F59" i="60" s="1"/>
  <c r="F33" i="60"/>
  <c r="F41" i="60"/>
  <c r="E52" i="60"/>
  <c r="F52" i="60" s="1"/>
  <c r="E60" i="60"/>
  <c r="F60" i="60" s="1"/>
  <c r="F25" i="60"/>
  <c r="E44" i="60"/>
  <c r="F44" i="60" s="1"/>
  <c r="E53" i="60"/>
  <c r="F53" i="60" s="1"/>
  <c r="E34" i="60"/>
  <c r="F34" i="60" s="1"/>
  <c r="E42" i="60"/>
  <c r="F42" i="60" s="1"/>
  <c r="E47" i="60"/>
  <c r="F47" i="60" s="1"/>
  <c r="E55" i="60"/>
  <c r="F55" i="60" s="1"/>
  <c r="E63" i="60"/>
  <c r="F63" i="60" s="1"/>
  <c r="F43" i="60"/>
  <c r="E58" i="60"/>
  <c r="F58" i="60" s="1"/>
  <c r="E36" i="60"/>
  <c r="F36" i="60" s="1"/>
  <c r="E61" i="60"/>
  <c r="F61" i="60" s="1"/>
  <c r="E62" i="60"/>
  <c r="F62" i="60" s="1"/>
  <c r="E31" i="60"/>
  <c r="E48" i="60"/>
  <c r="F48" i="60" s="1"/>
  <c r="E56" i="60"/>
  <c r="F56" i="60" s="1"/>
  <c r="E64" i="60"/>
  <c r="F64" i="60" s="1"/>
  <c r="E50" i="60"/>
  <c r="F50" i="60" s="1"/>
  <c r="E28" i="60"/>
  <c r="F28" i="60" s="1"/>
  <c r="E26" i="60"/>
  <c r="F39" i="60"/>
  <c r="E54" i="60"/>
  <c r="F54" i="60" s="1"/>
  <c r="F27" i="60"/>
  <c r="E29" i="60"/>
  <c r="E32" i="60"/>
  <c r="F32" i="60" s="1"/>
  <c r="E37" i="60"/>
  <c r="F37" i="60" s="1"/>
  <c r="E40" i="60"/>
  <c r="F40" i="60" s="1"/>
  <c r="E45" i="60"/>
  <c r="F45" i="60" s="1"/>
  <c r="E49" i="60"/>
  <c r="F49" i="60" s="1"/>
  <c r="E57" i="60"/>
  <c r="F57" i="60" s="1"/>
  <c r="E65" i="60"/>
  <c r="F65" i="60" s="1"/>
  <c r="L27" i="18"/>
  <c r="L14" i="18" s="1"/>
  <c r="J27" i="18"/>
  <c r="J14" i="18" s="1"/>
  <c r="L26" i="18"/>
  <c r="L13" i="18" s="1"/>
  <c r="J26" i="18"/>
  <c r="C5" i="58"/>
  <c r="G104" i="18" s="1"/>
  <c r="J10" i="58"/>
  <c r="K10" i="58" s="1"/>
  <c r="K11" i="58" s="1"/>
  <c r="H10" i="58"/>
  <c r="H11" i="58" s="1"/>
  <c r="E6" i="15"/>
  <c r="C5" i="34"/>
  <c r="S31" i="31"/>
  <c r="K27" i="31"/>
  <c r="L27" i="31" s="1"/>
  <c r="C5" i="31"/>
  <c r="O27" i="31"/>
  <c r="P31" i="31"/>
  <c r="N27" i="31"/>
  <c r="H20" i="18"/>
  <c r="H11" i="18" s="1"/>
  <c r="H8" i="18" s="1"/>
  <c r="I20" i="18"/>
  <c r="I11" i="18" s="1"/>
  <c r="I8" i="18" s="1"/>
  <c r="J20" i="18"/>
  <c r="J11" i="18" s="1"/>
  <c r="J8" i="18" s="1"/>
  <c r="K20" i="18"/>
  <c r="K11" i="18" s="1"/>
  <c r="K8" i="18" s="1"/>
  <c r="L20" i="18"/>
  <c r="L11" i="18" s="1"/>
  <c r="L8" i="18" s="1"/>
  <c r="F19" i="18"/>
  <c r="G19" i="18"/>
  <c r="H19" i="18"/>
  <c r="I19" i="18"/>
  <c r="J19" i="18"/>
  <c r="K19" i="18"/>
  <c r="L19" i="18"/>
  <c r="F18" i="18"/>
  <c r="G18" i="18"/>
  <c r="H18" i="18"/>
  <c r="I18" i="18"/>
  <c r="J18" i="18"/>
  <c r="K18" i="18"/>
  <c r="L18" i="18"/>
  <c r="H17" i="18"/>
  <c r="K17" i="18"/>
  <c r="H16" i="18"/>
  <c r="K16" i="18"/>
  <c r="J12" i="18"/>
  <c r="K12" i="18"/>
  <c r="L12" i="18"/>
  <c r="I12" i="18"/>
  <c r="F15" i="18"/>
  <c r="G15" i="18"/>
  <c r="H15" i="18"/>
  <c r="K15" i="18"/>
  <c r="F12" i="18"/>
  <c r="G12" i="18"/>
  <c r="H12" i="18"/>
  <c r="J67" i="18"/>
  <c r="F95" i="18"/>
  <c r="G95" i="18"/>
  <c r="H95" i="18"/>
  <c r="I95" i="18"/>
  <c r="J95" i="18"/>
  <c r="K95" i="18"/>
  <c r="L95" i="18"/>
  <c r="G47" i="18"/>
  <c r="H34" i="18"/>
  <c r="K34" i="18"/>
  <c r="H53" i="18"/>
  <c r="K53" i="18"/>
  <c r="G109" i="18"/>
  <c r="C5" i="55"/>
  <c r="C6" i="52"/>
  <c r="G108" i="18" s="1"/>
  <c r="G107" i="18"/>
  <c r="K13" i="51"/>
  <c r="C6" i="51"/>
  <c r="G106" i="18"/>
  <c r="C6" i="50"/>
  <c r="C6" i="49"/>
  <c r="F103" i="18"/>
  <c r="L98" i="18"/>
  <c r="K98" i="18"/>
  <c r="J98" i="18"/>
  <c r="I98" i="18"/>
  <c r="G98" i="18"/>
  <c r="F98" i="18"/>
  <c r="C5" i="57"/>
  <c r="J11" i="57"/>
  <c r="K11" i="57" s="1"/>
  <c r="K12" i="57" s="1"/>
  <c r="H11" i="57"/>
  <c r="H12" i="57" s="1"/>
  <c r="C6" i="10"/>
  <c r="L88" i="18" s="1"/>
  <c r="G88" i="18"/>
  <c r="G17" i="18" s="1"/>
  <c r="L87" i="18"/>
  <c r="G87" i="18"/>
  <c r="G16" i="18" s="1"/>
  <c r="N23" i="20"/>
  <c r="G79" i="18"/>
  <c r="C5" i="56"/>
  <c r="J11" i="56"/>
  <c r="K11" i="56" s="1"/>
  <c r="K12" i="56" s="1"/>
  <c r="H11" i="56"/>
  <c r="H12" i="56" s="1"/>
  <c r="J13" i="18" l="1"/>
  <c r="J22" i="18"/>
  <c r="L22" i="18"/>
  <c r="K10" i="18"/>
  <c r="K7" i="18" s="1"/>
  <c r="G103" i="18"/>
  <c r="F16" i="18"/>
  <c r="C16" i="60"/>
  <c r="D16" i="60" s="1"/>
  <c r="F29" i="60"/>
  <c r="G45" i="60"/>
  <c r="H45" i="60" s="1"/>
  <c r="G53" i="60"/>
  <c r="H53" i="60" s="1"/>
  <c r="G59" i="60"/>
  <c r="H59" i="60" s="1"/>
  <c r="G37" i="60"/>
  <c r="H37" i="60" s="1"/>
  <c r="G51" i="60"/>
  <c r="H51" i="60" s="1"/>
  <c r="G32" i="60"/>
  <c r="H32" i="60" s="1"/>
  <c r="G46" i="60"/>
  <c r="H46" i="60" s="1"/>
  <c r="G58" i="60"/>
  <c r="H58" i="60" s="1"/>
  <c r="G40" i="60"/>
  <c r="H40" i="60" s="1"/>
  <c r="G62" i="60"/>
  <c r="H62" i="60" s="1"/>
  <c r="G55" i="60"/>
  <c r="H55" i="60" s="1"/>
  <c r="G60" i="60"/>
  <c r="H60" i="60" s="1"/>
  <c r="G57" i="60"/>
  <c r="H57" i="60" s="1"/>
  <c r="H47" i="60"/>
  <c r="G47" i="60"/>
  <c r="G50" i="60"/>
  <c r="H50" i="60" s="1"/>
  <c r="G42" i="60"/>
  <c r="H42" i="60" s="1"/>
  <c r="G35" i="60"/>
  <c r="H35" i="60" s="1"/>
  <c r="G56" i="60"/>
  <c r="H56" i="60" s="1"/>
  <c r="G64" i="60"/>
  <c r="H64" i="60" s="1"/>
  <c r="G36" i="60"/>
  <c r="H36" i="60" s="1"/>
  <c r="G34" i="60"/>
  <c r="H34" i="60" s="1"/>
  <c r="G30" i="60"/>
  <c r="H30" i="60" s="1"/>
  <c r="G28" i="60"/>
  <c r="H28" i="60" s="1"/>
  <c r="G52" i="60"/>
  <c r="H52" i="60" s="1"/>
  <c r="G41" i="60"/>
  <c r="H41" i="60" s="1"/>
  <c r="G33" i="60"/>
  <c r="H33" i="60" s="1"/>
  <c r="G61" i="60"/>
  <c r="H61" i="60" s="1"/>
  <c r="G44" i="60"/>
  <c r="H44" i="60" s="1"/>
  <c r="G43" i="60"/>
  <c r="H43" i="60" s="1"/>
  <c r="G29" i="60"/>
  <c r="G48" i="60"/>
  <c r="H48" i="60" s="1"/>
  <c r="G38" i="60"/>
  <c r="H38" i="60" s="1"/>
  <c r="G39" i="60"/>
  <c r="H39" i="60" s="1"/>
  <c r="F26" i="60"/>
  <c r="F31" i="60"/>
  <c r="G65" i="60"/>
  <c r="H65" i="60" s="1"/>
  <c r="G54" i="60"/>
  <c r="H54" i="60" s="1"/>
  <c r="G25" i="60"/>
  <c r="H25" i="60" s="1"/>
  <c r="G49" i="60"/>
  <c r="H49" i="60" s="1"/>
  <c r="G27" i="60"/>
  <c r="H27" i="60" s="1"/>
  <c r="G63" i="60"/>
  <c r="H63" i="60" s="1"/>
  <c r="B5" i="53"/>
  <c r="G64" i="18"/>
  <c r="C5" i="48"/>
  <c r="B5" i="46"/>
  <c r="B5" i="45"/>
  <c r="K14" i="44"/>
  <c r="B5" i="44"/>
  <c r="C5" i="43"/>
  <c r="B5" i="41"/>
  <c r="G62" i="18"/>
  <c r="C5" i="47"/>
  <c r="G52" i="18"/>
  <c r="H25" i="24"/>
  <c r="C5" i="42"/>
  <c r="C5" i="33"/>
  <c r="E19" i="33"/>
  <c r="G19" i="33"/>
  <c r="I15" i="18"/>
  <c r="J12" i="55"/>
  <c r="K12" i="55" s="1"/>
  <c r="K13" i="55" s="1"/>
  <c r="H12" i="55"/>
  <c r="H13" i="55" s="1"/>
  <c r="J11" i="53"/>
  <c r="K11" i="53" s="1"/>
  <c r="K12" i="53" s="1"/>
  <c r="H11" i="53"/>
  <c r="H12" i="53" s="1"/>
  <c r="H12" i="52"/>
  <c r="J11" i="52"/>
  <c r="K11" i="52" s="1"/>
  <c r="H11" i="52"/>
  <c r="H12" i="51"/>
  <c r="J11" i="51"/>
  <c r="K11" i="51" s="1"/>
  <c r="H11" i="51"/>
  <c r="K13" i="50"/>
  <c r="K14" i="50" s="1"/>
  <c r="H13" i="50"/>
  <c r="J12" i="50"/>
  <c r="K12" i="50" s="1"/>
  <c r="H12" i="50"/>
  <c r="K14" i="49"/>
  <c r="K15" i="49" s="1"/>
  <c r="H14" i="49"/>
  <c r="J13" i="49"/>
  <c r="K13" i="49" s="1"/>
  <c r="H13" i="49"/>
  <c r="J12" i="48"/>
  <c r="K12" i="48" s="1"/>
  <c r="H12" i="48"/>
  <c r="J11" i="48"/>
  <c r="K11" i="48" s="1"/>
  <c r="H11" i="48"/>
  <c r="J14" i="47"/>
  <c r="K14" i="47" s="1"/>
  <c r="H14" i="47"/>
  <c r="J13" i="47"/>
  <c r="K13" i="47" s="1"/>
  <c r="H13" i="47"/>
  <c r="J12" i="47"/>
  <c r="K12" i="47" s="1"/>
  <c r="H12" i="47"/>
  <c r="H15" i="47" s="1"/>
  <c r="J14" i="46"/>
  <c r="K14" i="46" s="1"/>
  <c r="H14" i="46"/>
  <c r="J13" i="46"/>
  <c r="K13" i="46" s="1"/>
  <c r="H13" i="46"/>
  <c r="J12" i="46"/>
  <c r="K12" i="46" s="1"/>
  <c r="H12" i="46"/>
  <c r="H15" i="46" s="1"/>
  <c r="J14" i="45"/>
  <c r="K14" i="45" s="1"/>
  <c r="H14" i="45"/>
  <c r="J13" i="45"/>
  <c r="K13" i="45" s="1"/>
  <c r="H13" i="45"/>
  <c r="J12" i="45"/>
  <c r="K12" i="45" s="1"/>
  <c r="H12" i="45"/>
  <c r="H15" i="45" s="1"/>
  <c r="H14" i="44"/>
  <c r="J13" i="44"/>
  <c r="K13" i="44" s="1"/>
  <c r="H13" i="44"/>
  <c r="J12" i="44"/>
  <c r="K12" i="44" s="1"/>
  <c r="H12" i="44"/>
  <c r="J11" i="44"/>
  <c r="K11" i="44" s="1"/>
  <c r="H11" i="44"/>
  <c r="J14" i="43"/>
  <c r="K14" i="43" s="1"/>
  <c r="H14" i="43"/>
  <c r="J13" i="43"/>
  <c r="K13" i="43" s="1"/>
  <c r="H13" i="43"/>
  <c r="H15" i="43" s="1"/>
  <c r="J13" i="42"/>
  <c r="K13" i="42" s="1"/>
  <c r="H13" i="42"/>
  <c r="K12" i="42"/>
  <c r="J12" i="42"/>
  <c r="H12" i="42"/>
  <c r="J14" i="41"/>
  <c r="K14" i="41" s="1"/>
  <c r="H14" i="41"/>
  <c r="J13" i="41"/>
  <c r="K13" i="41" s="1"/>
  <c r="H13" i="41"/>
  <c r="J12" i="41"/>
  <c r="K12" i="41" s="1"/>
  <c r="K15" i="41" s="1"/>
  <c r="H12" i="41"/>
  <c r="H15" i="41" s="1"/>
  <c r="D6" i="10"/>
  <c r="P21" i="10"/>
  <c r="Q21" i="10" s="1"/>
  <c r="P22" i="10"/>
  <c r="Q22" i="10" s="1"/>
  <c r="P23" i="10"/>
  <c r="Q23" i="10" s="1"/>
  <c r="P20" i="10"/>
  <c r="Q20" i="10" s="1"/>
  <c r="Y23" i="10"/>
  <c r="B7" i="10"/>
  <c r="B6" i="10"/>
  <c r="F13" i="10"/>
  <c r="F14" i="10"/>
  <c r="F15" i="10"/>
  <c r="F12" i="10"/>
  <c r="C14" i="10"/>
  <c r="C15" i="10"/>
  <c r="C13" i="10"/>
  <c r="V24" i="34"/>
  <c r="X67" i="34"/>
  <c r="X57" i="34"/>
  <c r="Y57" i="34" s="1"/>
  <c r="F10" i="18" l="1"/>
  <c r="G34" i="18"/>
  <c r="G20" i="18"/>
  <c r="G11" i="18" s="1"/>
  <c r="G8" i="18" s="1"/>
  <c r="F34" i="18"/>
  <c r="F20" i="18"/>
  <c r="F11" i="18" s="1"/>
  <c r="K6" i="18"/>
  <c r="K9" i="18"/>
  <c r="H29" i="60"/>
  <c r="F12" i="60"/>
  <c r="G12" i="60" s="1"/>
  <c r="C5" i="60" s="1"/>
  <c r="I54" i="60"/>
  <c r="J54" i="60" s="1"/>
  <c r="I52" i="60"/>
  <c r="J52" i="60" s="1"/>
  <c r="I44" i="60"/>
  <c r="J44" i="60" s="1"/>
  <c r="I28" i="60"/>
  <c r="I35" i="60"/>
  <c r="J35" i="60" s="1"/>
  <c r="I51" i="60"/>
  <c r="J51" i="60" s="1"/>
  <c r="I60" i="60"/>
  <c r="J60" i="60" s="1"/>
  <c r="I55" i="60"/>
  <c r="J55" i="60" s="1"/>
  <c r="I37" i="60"/>
  <c r="J37" i="60" s="1"/>
  <c r="I33" i="60"/>
  <c r="J33" i="60" s="1"/>
  <c r="I50" i="60"/>
  <c r="J50" i="60" s="1"/>
  <c r="I38" i="60"/>
  <c r="J38" i="60" s="1"/>
  <c r="I34" i="60"/>
  <c r="J34" i="60" s="1"/>
  <c r="I58" i="60"/>
  <c r="J58" i="60" s="1"/>
  <c r="I32" i="60"/>
  <c r="J32" i="60" s="1"/>
  <c r="I61" i="60"/>
  <c r="J61" i="60" s="1"/>
  <c r="I27" i="60"/>
  <c r="J27" i="60" s="1"/>
  <c r="I40" i="60"/>
  <c r="J40" i="60" s="1"/>
  <c r="I48" i="60"/>
  <c r="J48" i="60" s="1"/>
  <c r="I36" i="60"/>
  <c r="J36" i="60" s="1"/>
  <c r="I46" i="60"/>
  <c r="J46" i="60" s="1"/>
  <c r="I53" i="60"/>
  <c r="J53" i="60" s="1"/>
  <c r="I65" i="60"/>
  <c r="J65" i="60" s="1"/>
  <c r="I43" i="60"/>
  <c r="J43" i="60" s="1"/>
  <c r="I42" i="60"/>
  <c r="J42" i="60" s="1"/>
  <c r="I39" i="60"/>
  <c r="J39" i="60" s="1"/>
  <c r="I25" i="60"/>
  <c r="J25" i="60" s="1"/>
  <c r="I64" i="60"/>
  <c r="J64" i="60" s="1"/>
  <c r="J57" i="60"/>
  <c r="I57" i="60"/>
  <c r="I45" i="60"/>
  <c r="J45" i="60" s="1"/>
  <c r="I49" i="60"/>
  <c r="J49" i="60" s="1"/>
  <c r="G26" i="60"/>
  <c r="H26" i="60" s="1"/>
  <c r="I29" i="60"/>
  <c r="I63" i="60"/>
  <c r="J63" i="60" s="1"/>
  <c r="I56" i="60"/>
  <c r="J56" i="60" s="1"/>
  <c r="I41" i="60"/>
  <c r="J41" i="60" s="1"/>
  <c r="I62" i="60"/>
  <c r="J62" i="60" s="1"/>
  <c r="I30" i="60"/>
  <c r="I47" i="60"/>
  <c r="J47" i="60" s="1"/>
  <c r="I59" i="60"/>
  <c r="J59" i="60" s="1"/>
  <c r="G31" i="60"/>
  <c r="C17" i="60" s="1"/>
  <c r="G53" i="18"/>
  <c r="F53" i="18"/>
  <c r="H13" i="48"/>
  <c r="K15" i="47"/>
  <c r="K15" i="46"/>
  <c r="K15" i="45"/>
  <c r="H14" i="42"/>
  <c r="K13" i="48"/>
  <c r="K15" i="43"/>
  <c r="K14" i="42"/>
  <c r="Y67" i="34"/>
  <c r="X24" i="34"/>
  <c r="D6" i="35"/>
  <c r="X45" i="34"/>
  <c r="C7" i="35"/>
  <c r="C6" i="35"/>
  <c r="X48" i="34"/>
  <c r="X49" i="34"/>
  <c r="X50" i="34"/>
  <c r="X51" i="34"/>
  <c r="X52" i="34"/>
  <c r="X53" i="34"/>
  <c r="X54" i="34"/>
  <c r="X55" i="34"/>
  <c r="X56" i="34"/>
  <c r="X47" i="34"/>
  <c r="X44" i="34"/>
  <c r="X42" i="34"/>
  <c r="X41" i="34"/>
  <c r="X39" i="34"/>
  <c r="X37" i="34"/>
  <c r="E7" i="35"/>
  <c r="F7" i="35"/>
  <c r="G7" i="35"/>
  <c r="I7" i="35"/>
  <c r="C19" i="35"/>
  <c r="J18" i="35"/>
  <c r="K18" i="35"/>
  <c r="L18" i="35"/>
  <c r="G15" i="35"/>
  <c r="I12" i="35"/>
  <c r="H12" i="35"/>
  <c r="G12" i="35"/>
  <c r="H13" i="35"/>
  <c r="G13" i="35"/>
  <c r="I13" i="35"/>
  <c r="H98" i="18"/>
  <c r="F78" i="18"/>
  <c r="G78" i="18"/>
  <c r="H78" i="18"/>
  <c r="K78" i="18"/>
  <c r="F67" i="18"/>
  <c r="G67" i="18"/>
  <c r="H67" i="18"/>
  <c r="K67" i="18"/>
  <c r="C7" i="24"/>
  <c r="C6" i="24"/>
  <c r="F8" i="18" l="1"/>
  <c r="F6" i="18"/>
  <c r="K33" i="18"/>
  <c r="G33" i="18"/>
  <c r="F33" i="18"/>
  <c r="H33" i="18"/>
  <c r="D17" i="60"/>
  <c r="H12" i="60"/>
  <c r="I12" i="60" s="1"/>
  <c r="D5" i="60" s="1"/>
  <c r="J29" i="60"/>
  <c r="I26" i="60"/>
  <c r="J26" i="60" s="1"/>
  <c r="K48" i="60"/>
  <c r="L48" i="60" s="1"/>
  <c r="K51" i="60"/>
  <c r="L51" i="60" s="1"/>
  <c r="K49" i="60"/>
  <c r="L49" i="60" s="1"/>
  <c r="K40" i="60"/>
  <c r="L40" i="60" s="1"/>
  <c r="K38" i="60"/>
  <c r="L38" i="60" s="1"/>
  <c r="K39" i="60"/>
  <c r="L39" i="60" s="1"/>
  <c r="K60" i="60"/>
  <c r="L60" i="60" s="1"/>
  <c r="K43" i="60"/>
  <c r="L43" i="60" s="1"/>
  <c r="K52" i="60"/>
  <c r="L52" i="60" s="1"/>
  <c r="K36" i="60"/>
  <c r="L36" i="60" s="1"/>
  <c r="K45" i="60"/>
  <c r="L45" i="60" s="1"/>
  <c r="K50" i="60"/>
  <c r="L50" i="60" s="1"/>
  <c r="K41" i="60"/>
  <c r="L41" i="60" s="1"/>
  <c r="K65" i="60"/>
  <c r="L65" i="60" s="1"/>
  <c r="K33" i="60"/>
  <c r="L33" i="60" s="1"/>
  <c r="K56" i="60"/>
  <c r="L56" i="60" s="1"/>
  <c r="K53" i="60"/>
  <c r="L53" i="60" s="1"/>
  <c r="K61" i="60"/>
  <c r="L61" i="60" s="1"/>
  <c r="K44" i="60"/>
  <c r="L44" i="60" s="1"/>
  <c r="K59" i="60"/>
  <c r="L59" i="60" s="1"/>
  <c r="K63" i="60"/>
  <c r="L63" i="60" s="1"/>
  <c r="K64" i="60"/>
  <c r="L64" i="60" s="1"/>
  <c r="K32" i="60"/>
  <c r="L32" i="60" s="1"/>
  <c r="K25" i="60"/>
  <c r="L25" i="60" s="1"/>
  <c r="K58" i="60"/>
  <c r="L58" i="60" s="1"/>
  <c r="K55" i="60"/>
  <c r="L55" i="60" s="1"/>
  <c r="K29" i="60"/>
  <c r="K57" i="60"/>
  <c r="L57" i="60" s="1"/>
  <c r="K42" i="60"/>
  <c r="L42" i="60" s="1"/>
  <c r="K46" i="60"/>
  <c r="L46" i="60" s="1"/>
  <c r="K27" i="60"/>
  <c r="L27" i="60" s="1"/>
  <c r="K34" i="60"/>
  <c r="L34" i="60" s="1"/>
  <c r="K37" i="60"/>
  <c r="L37" i="60" s="1"/>
  <c r="K35" i="60"/>
  <c r="L35" i="60" s="1"/>
  <c r="K54" i="60"/>
  <c r="L54" i="60" s="1"/>
  <c r="J28" i="60"/>
  <c r="K62" i="60"/>
  <c r="L62" i="60" s="1"/>
  <c r="K47" i="60"/>
  <c r="L47" i="60" s="1"/>
  <c r="J30" i="60"/>
  <c r="H31" i="60"/>
  <c r="H10" i="18"/>
  <c r="G10" i="18"/>
  <c r="F17" i="16"/>
  <c r="G12" i="16"/>
  <c r="G13" i="16"/>
  <c r="G14" i="16"/>
  <c r="G15" i="16"/>
  <c r="G16" i="16"/>
  <c r="B6" i="16"/>
  <c r="X28" i="34"/>
  <c r="X29" i="34"/>
  <c r="X27" i="34"/>
  <c r="X26" i="34"/>
  <c r="X23" i="34"/>
  <c r="X21" i="34"/>
  <c r="X20" i="34"/>
  <c r="X18" i="34"/>
  <c r="X16" i="34"/>
  <c r="Q26" i="11"/>
  <c r="P26" i="11"/>
  <c r="T26" i="11"/>
  <c r="K22" i="31"/>
  <c r="K20" i="31"/>
  <c r="K18" i="31"/>
  <c r="K16" i="31"/>
  <c r="K26" i="60" l="1"/>
  <c r="L26" i="60" s="1"/>
  <c r="K30" i="60"/>
  <c r="L30" i="60" s="1"/>
  <c r="L29" i="60"/>
  <c r="I31" i="60"/>
  <c r="C18" i="60" s="1"/>
  <c r="K28" i="60"/>
  <c r="L28" i="60" s="1"/>
  <c r="F7" i="18"/>
  <c r="F9" i="18"/>
  <c r="G7" i="18"/>
  <c r="G6" i="18"/>
  <c r="G9" i="18"/>
  <c r="H6" i="18"/>
  <c r="H7" i="18"/>
  <c r="H9" i="18"/>
  <c r="Y29" i="34"/>
  <c r="G17" i="16"/>
  <c r="C6" i="16" s="1"/>
  <c r="D6" i="16" s="1"/>
  <c r="E6" i="16" s="1"/>
  <c r="D18" i="60" l="1"/>
  <c r="J12" i="60"/>
  <c r="K12" i="60" s="1"/>
  <c r="J31" i="60"/>
  <c r="B7" i="5"/>
  <c r="B6" i="5"/>
  <c r="L31" i="5"/>
  <c r="J31" i="5"/>
  <c r="H9" i="16"/>
  <c r="B6" i="11"/>
  <c r="E22" i="10"/>
  <c r="L26" i="11"/>
  <c r="J20" i="11"/>
  <c r="K17" i="31"/>
  <c r="K19" i="31"/>
  <c r="K21" i="31"/>
  <c r="C10" i="31"/>
  <c r="D10" i="31"/>
  <c r="E10" i="31"/>
  <c r="K15" i="31"/>
  <c r="D60" i="38"/>
  <c r="E60" i="38"/>
  <c r="G60" i="38"/>
  <c r="D61" i="38"/>
  <c r="E8" i="38" s="1"/>
  <c r="D62" i="38"/>
  <c r="D63" i="38"/>
  <c r="G8" i="38" s="1"/>
  <c r="B51" i="38"/>
  <c r="C51" i="38"/>
  <c r="D51" i="38"/>
  <c r="E51" i="38"/>
  <c r="G25" i="38"/>
  <c r="H25" i="38"/>
  <c r="I25" i="38"/>
  <c r="J25" i="38"/>
  <c r="G26" i="38"/>
  <c r="H26" i="38"/>
  <c r="I26" i="38"/>
  <c r="J26" i="38"/>
  <c r="G27" i="38"/>
  <c r="H27" i="38"/>
  <c r="I27" i="38"/>
  <c r="J27" i="38"/>
  <c r="G28" i="38"/>
  <c r="H28" i="38"/>
  <c r="I28" i="38"/>
  <c r="J28" i="38"/>
  <c r="G29" i="38"/>
  <c r="H29" i="38"/>
  <c r="I29" i="38"/>
  <c r="J29" i="38"/>
  <c r="G30" i="38"/>
  <c r="H30" i="38"/>
  <c r="I30" i="38"/>
  <c r="J30" i="38"/>
  <c r="G31" i="38"/>
  <c r="H31" i="38"/>
  <c r="I31" i="38"/>
  <c r="J31" i="38"/>
  <c r="G32" i="38"/>
  <c r="H32" i="38"/>
  <c r="I32" i="38"/>
  <c r="J32" i="38"/>
  <c r="G33" i="38"/>
  <c r="H33" i="38"/>
  <c r="I33" i="38"/>
  <c r="J33" i="38"/>
  <c r="C34" i="38"/>
  <c r="C50" i="38" s="1"/>
  <c r="G35" i="38"/>
  <c r="H35" i="38"/>
  <c r="I35" i="38"/>
  <c r="F8" i="38" s="1"/>
  <c r="J35" i="38"/>
  <c r="K20" i="38"/>
  <c r="W20" i="38" s="1"/>
  <c r="AD20" i="38"/>
  <c r="K21" i="38"/>
  <c r="W21" i="38" s="1"/>
  <c r="AD21" i="38"/>
  <c r="G14" i="38"/>
  <c r="G20" i="38" s="1"/>
  <c r="H14" i="38"/>
  <c r="H21" i="38" s="1"/>
  <c r="I14" i="38"/>
  <c r="I21" i="38" s="1"/>
  <c r="K31" i="60" l="1"/>
  <c r="C19" i="60" s="1"/>
  <c r="H22" i="31"/>
  <c r="H16" i="31"/>
  <c r="H18" i="31"/>
  <c r="H20" i="31"/>
  <c r="G16" i="31"/>
  <c r="G22" i="31"/>
  <c r="G20" i="31"/>
  <c r="G18" i="31"/>
  <c r="G21" i="38"/>
  <c r="U21" i="38" s="1"/>
  <c r="H20" i="38"/>
  <c r="G34" i="38"/>
  <c r="G36" i="38" s="1"/>
  <c r="C48" i="38" s="1"/>
  <c r="I20" i="38"/>
  <c r="H34" i="38"/>
  <c r="H36" i="38" s="1"/>
  <c r="J34" i="38"/>
  <c r="G7" i="38" s="1"/>
  <c r="C36" i="38"/>
  <c r="B48" i="38" s="1"/>
  <c r="I34" i="38"/>
  <c r="F7" i="38" s="1"/>
  <c r="H17" i="31"/>
  <c r="H19" i="31"/>
  <c r="H21" i="31"/>
  <c r="H15" i="31"/>
  <c r="Q15" i="31" s="1"/>
  <c r="G17" i="31"/>
  <c r="G19" i="31"/>
  <c r="G21" i="31"/>
  <c r="G15" i="31"/>
  <c r="E50" i="38"/>
  <c r="J21" i="38"/>
  <c r="V21" i="38" s="1"/>
  <c r="D50" i="38"/>
  <c r="K27" i="34"/>
  <c r="K26" i="34"/>
  <c r="K25" i="34"/>
  <c r="K24" i="34"/>
  <c r="K23" i="34"/>
  <c r="K22" i="34"/>
  <c r="K21" i="34"/>
  <c r="K20" i="34"/>
  <c r="K19" i="34"/>
  <c r="K18" i="34"/>
  <c r="K16" i="34"/>
  <c r="L31" i="60" l="1"/>
  <c r="J16" i="31"/>
  <c r="O16" i="31"/>
  <c r="P16" i="31"/>
  <c r="Q16" i="31"/>
  <c r="O20" i="31"/>
  <c r="Q20" i="31"/>
  <c r="P20" i="31"/>
  <c r="J20" i="31"/>
  <c r="O18" i="31"/>
  <c r="Q18" i="31"/>
  <c r="J18" i="31"/>
  <c r="P18" i="31"/>
  <c r="J22" i="31"/>
  <c r="P22" i="31"/>
  <c r="O22" i="31"/>
  <c r="O19" i="31"/>
  <c r="Q22" i="31"/>
  <c r="O21" i="38"/>
  <c r="Y21" i="38" s="1"/>
  <c r="P21" i="38"/>
  <c r="Z21" i="38" s="1"/>
  <c r="U20" i="38"/>
  <c r="J36" i="38"/>
  <c r="E7" i="38"/>
  <c r="Q21" i="38"/>
  <c r="AA21" i="38" s="1"/>
  <c r="J20" i="38"/>
  <c r="P20" i="38"/>
  <c r="Z20" i="38" s="1"/>
  <c r="I36" i="38"/>
  <c r="O20" i="38"/>
  <c r="Y20" i="38" s="1"/>
  <c r="Q20" i="38"/>
  <c r="AA20" i="38" s="1"/>
  <c r="O17" i="31"/>
  <c r="P17" i="31"/>
  <c r="Q17" i="31"/>
  <c r="P21" i="31"/>
  <c r="P15" i="31"/>
  <c r="J15" i="31"/>
  <c r="O15" i="31"/>
  <c r="O21" i="31"/>
  <c r="Q21" i="31"/>
  <c r="J19" i="31"/>
  <c r="P19" i="31"/>
  <c r="Q19" i="31"/>
  <c r="J17" i="31"/>
  <c r="J21" i="31"/>
  <c r="R22" i="31" l="1"/>
  <c r="T22" i="31" s="1"/>
  <c r="D19" i="60"/>
  <c r="L12" i="60"/>
  <c r="M12" i="60" s="1"/>
  <c r="AC21" i="38"/>
  <c r="AE21" i="38" s="1"/>
  <c r="R16" i="31"/>
  <c r="T16" i="31" s="1"/>
  <c r="R20" i="31"/>
  <c r="T20" i="31" s="1"/>
  <c r="R18" i="31"/>
  <c r="T18" i="31" s="1"/>
  <c r="R21" i="38"/>
  <c r="T21" i="38" s="1"/>
  <c r="V20" i="38"/>
  <c r="AC20" i="38" s="1"/>
  <c r="AE20" i="38" s="1"/>
  <c r="R20" i="38"/>
  <c r="T20" i="38" s="1"/>
  <c r="R21" i="31"/>
  <c r="T21" i="31" s="1"/>
  <c r="F30" i="31" l="1"/>
  <c r="F51" i="37"/>
  <c r="F52" i="37"/>
  <c r="F53" i="37"/>
  <c r="F56" i="37"/>
  <c r="F64" i="37" s="1"/>
  <c r="E6" i="37" s="1"/>
  <c r="F6" i="37" s="1"/>
  <c r="F57" i="37"/>
  <c r="F65" i="37" s="1"/>
  <c r="E7" i="37" s="1"/>
  <c r="F7" i="37" s="1"/>
  <c r="F60" i="37"/>
  <c r="F31" i="37"/>
  <c r="F32" i="37"/>
  <c r="F33" i="37"/>
  <c r="F36" i="37"/>
  <c r="F44" i="37" s="1"/>
  <c r="D6" i="37" s="1"/>
  <c r="F37" i="37"/>
  <c r="F40" i="37"/>
  <c r="F26" i="37"/>
  <c r="C6" i="37" s="1"/>
  <c r="F22" i="37"/>
  <c r="F12" i="37"/>
  <c r="F13" i="37"/>
  <c r="F14" i="37"/>
  <c r="F17" i="37"/>
  <c r="F18" i="37"/>
  <c r="Q42" i="31"/>
  <c r="Q43" i="31"/>
  <c r="F45" i="37" l="1"/>
  <c r="D7" i="37" s="1"/>
  <c r="F27" i="37"/>
  <c r="C7" i="37" s="1"/>
  <c r="F54" i="37"/>
  <c r="F62" i="37" s="1"/>
  <c r="F34" i="37"/>
  <c r="F42" i="37" s="1"/>
  <c r="F15" i="37"/>
  <c r="F24" i="37" s="1"/>
  <c r="J17" i="35"/>
  <c r="K17" i="35"/>
  <c r="L17" i="35"/>
  <c r="L15" i="35"/>
  <c r="K15" i="35"/>
  <c r="J15" i="35"/>
  <c r="J14" i="35"/>
  <c r="B66" i="34"/>
  <c r="F10" i="8" l="1"/>
  <c r="E10" i="8"/>
  <c r="H15" i="8" s="1"/>
  <c r="D10" i="8"/>
  <c r="G15" i="8" s="1"/>
  <c r="Q15" i="8" l="1"/>
  <c r="P15" i="8"/>
  <c r="O15" i="8"/>
  <c r="J15" i="8"/>
  <c r="D11" i="15" l="1"/>
  <c r="H11" i="15" s="1"/>
  <c r="K15" i="8"/>
  <c r="D12" i="11"/>
  <c r="C12" i="11"/>
  <c r="B12" i="11"/>
  <c r="J19" i="11"/>
  <c r="F19" i="11" l="1"/>
  <c r="F20" i="11"/>
  <c r="H19" i="11"/>
  <c r="H20" i="11"/>
  <c r="G19" i="11"/>
  <c r="G20" i="11"/>
  <c r="F11" i="15"/>
  <c r="G11" i="15"/>
  <c r="R15" i="8"/>
  <c r="T15" i="8" s="1"/>
  <c r="D20" i="8" s="1"/>
  <c r="K20" i="8" l="1"/>
  <c r="C6" i="8" s="1"/>
  <c r="O20" i="8"/>
  <c r="I20" i="11"/>
  <c r="P20" i="11"/>
  <c r="N20" i="11"/>
  <c r="O20" i="11"/>
  <c r="I19" i="11"/>
  <c r="P19" i="11"/>
  <c r="O19" i="11"/>
  <c r="N19" i="11"/>
  <c r="D6" i="8"/>
  <c r="Q20" i="11" l="1"/>
  <c r="S20" i="11" s="1"/>
  <c r="Q19" i="11"/>
  <c r="S19" i="11" s="1"/>
  <c r="C27" i="11" s="1"/>
  <c r="P27" i="11" s="1"/>
  <c r="X66" i="34"/>
  <c r="K66" i="34"/>
  <c r="F102" i="18"/>
  <c r="G102" i="18"/>
  <c r="H103" i="18"/>
  <c r="H102" i="18" s="1"/>
  <c r="I103" i="18"/>
  <c r="I102" i="18" s="1"/>
  <c r="J103" i="18"/>
  <c r="J102" i="18" s="1"/>
  <c r="K103" i="18"/>
  <c r="K102" i="18" s="1"/>
  <c r="L103" i="18"/>
  <c r="L102" i="18" s="1"/>
  <c r="T27" i="11" l="1"/>
  <c r="L27" i="11"/>
  <c r="F21" i="18"/>
  <c r="G21" i="18"/>
  <c r="H21" i="18"/>
  <c r="I21" i="18"/>
  <c r="J21" i="18"/>
  <c r="K21" i="18"/>
  <c r="L21" i="18"/>
  <c r="L16" i="35"/>
  <c r="K16" i="35"/>
  <c r="J16" i="35"/>
  <c r="L14" i="35"/>
  <c r="K14" i="35"/>
  <c r="L13" i="35"/>
  <c r="K13" i="35"/>
  <c r="K12" i="35"/>
  <c r="L12" i="35"/>
  <c r="J13" i="35"/>
  <c r="J12" i="35"/>
  <c r="E90" i="18"/>
  <c r="E89" i="18"/>
  <c r="B37" i="34"/>
  <c r="K37" i="34"/>
  <c r="B38" i="34"/>
  <c r="B39" i="34"/>
  <c r="K39" i="34"/>
  <c r="B40" i="34"/>
  <c r="K40" i="34"/>
  <c r="K41" i="34"/>
  <c r="B42" i="34"/>
  <c r="K42" i="34"/>
  <c r="B43" i="34"/>
  <c r="K43" i="34"/>
  <c r="B44" i="34"/>
  <c r="K44" i="34"/>
  <c r="B45" i="34"/>
  <c r="K45" i="34"/>
  <c r="B46" i="34"/>
  <c r="K46" i="34"/>
  <c r="K47" i="34"/>
  <c r="K48" i="34"/>
  <c r="B49" i="34"/>
  <c r="K49" i="34"/>
  <c r="B50" i="34"/>
  <c r="K50" i="34"/>
  <c r="B51" i="34"/>
  <c r="K51" i="34"/>
  <c r="B52" i="34"/>
  <c r="K52" i="34"/>
  <c r="B53" i="34"/>
  <c r="K53" i="34"/>
  <c r="K54" i="34"/>
  <c r="B55" i="34"/>
  <c r="K55" i="34"/>
  <c r="K56" i="34"/>
  <c r="B16" i="34"/>
  <c r="B17" i="34"/>
  <c r="B18" i="34"/>
  <c r="B19" i="34"/>
  <c r="B21" i="34"/>
  <c r="B22" i="34"/>
  <c r="B23" i="34"/>
  <c r="B24" i="34"/>
  <c r="B25" i="34"/>
  <c r="B28" i="34"/>
  <c r="K28" i="34"/>
  <c r="B9" i="34"/>
  <c r="C9" i="34"/>
  <c r="D9" i="34"/>
  <c r="I24" i="24"/>
  <c r="K24" i="24"/>
  <c r="H28" i="34" l="1"/>
  <c r="H55" i="34"/>
  <c r="G28" i="34"/>
  <c r="G55" i="34"/>
  <c r="L19" i="35"/>
  <c r="K19" i="35"/>
  <c r="H25" i="34"/>
  <c r="H18" i="34"/>
  <c r="H19" i="34"/>
  <c r="H26" i="34"/>
  <c r="H16" i="34"/>
  <c r="H22" i="34"/>
  <c r="H27" i="34"/>
  <c r="H20" i="34"/>
  <c r="H21" i="34"/>
  <c r="H23" i="34"/>
  <c r="H17" i="34"/>
  <c r="H24" i="34"/>
  <c r="G20" i="34"/>
  <c r="G19" i="34"/>
  <c r="G16" i="34"/>
  <c r="G23" i="34"/>
  <c r="G25" i="34"/>
  <c r="G18" i="34"/>
  <c r="G22" i="34"/>
  <c r="G17" i="34"/>
  <c r="G27" i="34"/>
  <c r="G24" i="34"/>
  <c r="G26" i="34"/>
  <c r="G21" i="34"/>
  <c r="J19" i="35"/>
  <c r="H43" i="34"/>
  <c r="H38" i="34"/>
  <c r="H39" i="34"/>
  <c r="H40" i="34"/>
  <c r="H41" i="34"/>
  <c r="H42" i="34"/>
  <c r="H44" i="34"/>
  <c r="H45" i="34"/>
  <c r="H46" i="34"/>
  <c r="H47" i="34"/>
  <c r="H48" i="34"/>
  <c r="H49" i="34"/>
  <c r="H50" i="34"/>
  <c r="H51" i="34"/>
  <c r="H52" i="34"/>
  <c r="H53" i="34"/>
  <c r="H54" i="34"/>
  <c r="H56" i="34"/>
  <c r="H37" i="34"/>
  <c r="G38" i="34"/>
  <c r="G39" i="34"/>
  <c r="G40" i="34"/>
  <c r="G41" i="34"/>
  <c r="G42" i="34"/>
  <c r="G43" i="34"/>
  <c r="G44" i="34"/>
  <c r="G45" i="34"/>
  <c r="G46" i="34"/>
  <c r="G47" i="34"/>
  <c r="G48" i="34"/>
  <c r="G49" i="34"/>
  <c r="G50" i="34"/>
  <c r="G51" i="34"/>
  <c r="G52" i="34"/>
  <c r="G53" i="34"/>
  <c r="G54" i="34"/>
  <c r="G56" i="34"/>
  <c r="G37" i="34"/>
  <c r="G66" i="34"/>
  <c r="P66" i="34" s="1"/>
  <c r="O40" i="34" l="1"/>
  <c r="O55" i="34"/>
  <c r="P55" i="34"/>
  <c r="J55" i="34"/>
  <c r="Q28" i="34"/>
  <c r="P28" i="34"/>
  <c r="J28" i="34"/>
  <c r="O28" i="34"/>
  <c r="Q55" i="34"/>
  <c r="O38" i="34"/>
  <c r="Q23" i="34"/>
  <c r="O23" i="34"/>
  <c r="J23" i="34"/>
  <c r="P23" i="34"/>
  <c r="P16" i="34"/>
  <c r="J16" i="34"/>
  <c r="Q16" i="34"/>
  <c r="O16" i="34"/>
  <c r="J20" i="34"/>
  <c r="P20" i="34"/>
  <c r="Q20" i="34"/>
  <c r="O20" i="34"/>
  <c r="Q17" i="34"/>
  <c r="P17" i="34"/>
  <c r="J17" i="34"/>
  <c r="O17" i="34"/>
  <c r="O21" i="34"/>
  <c r="J21" i="34"/>
  <c r="P21" i="34"/>
  <c r="O26" i="34"/>
  <c r="J26" i="34"/>
  <c r="Q26" i="34"/>
  <c r="P26" i="34"/>
  <c r="O24" i="34"/>
  <c r="Q24" i="34"/>
  <c r="J24" i="34"/>
  <c r="P24" i="34"/>
  <c r="Q19" i="34"/>
  <c r="P19" i="34"/>
  <c r="J19" i="34"/>
  <c r="J27" i="34"/>
  <c r="P27" i="34"/>
  <c r="O27" i="34"/>
  <c r="Q27" i="34"/>
  <c r="O45" i="34"/>
  <c r="P52" i="34"/>
  <c r="J52" i="34"/>
  <c r="Q52" i="34"/>
  <c r="O52" i="34"/>
  <c r="P22" i="34"/>
  <c r="Q22" i="34"/>
  <c r="J22" i="34"/>
  <c r="O22" i="34"/>
  <c r="O19" i="34"/>
  <c r="Q51" i="34"/>
  <c r="P51" i="34"/>
  <c r="J51" i="34"/>
  <c r="O51" i="34"/>
  <c r="O43" i="34"/>
  <c r="J18" i="34"/>
  <c r="P18" i="34"/>
  <c r="O18" i="34"/>
  <c r="Q18" i="34"/>
  <c r="Q25" i="34"/>
  <c r="J25" i="34"/>
  <c r="P25" i="34"/>
  <c r="O25" i="34"/>
  <c r="Q21" i="34"/>
  <c r="I67" i="18"/>
  <c r="L67" i="18"/>
  <c r="I6" i="35"/>
  <c r="G6" i="35"/>
  <c r="Q37" i="34"/>
  <c r="P37" i="34"/>
  <c r="O37" i="34"/>
  <c r="R37" i="34" s="1"/>
  <c r="T37" i="34" s="1"/>
  <c r="J37" i="34"/>
  <c r="Q56" i="34"/>
  <c r="P56" i="34"/>
  <c r="O56" i="34"/>
  <c r="J56" i="34"/>
  <c r="Q54" i="34"/>
  <c r="P54" i="34"/>
  <c r="O54" i="34"/>
  <c r="J54" i="34"/>
  <c r="Q53" i="34"/>
  <c r="P53" i="34"/>
  <c r="O53" i="34"/>
  <c r="J53" i="34"/>
  <c r="Q50" i="34"/>
  <c r="P50" i="34"/>
  <c r="O50" i="34"/>
  <c r="J50" i="34"/>
  <c r="Q49" i="34"/>
  <c r="P49" i="34"/>
  <c r="O49" i="34"/>
  <c r="J49" i="34"/>
  <c r="Q48" i="34"/>
  <c r="P48" i="34"/>
  <c r="O48" i="34"/>
  <c r="J48" i="34"/>
  <c r="Q47" i="34"/>
  <c r="P47" i="34"/>
  <c r="O47" i="34"/>
  <c r="J47" i="34"/>
  <c r="Q46" i="34"/>
  <c r="P46" i="34"/>
  <c r="O46" i="34"/>
  <c r="J46" i="34"/>
  <c r="Q45" i="34"/>
  <c r="P45" i="34"/>
  <c r="J45" i="34"/>
  <c r="Q44" i="34"/>
  <c r="P44" i="34"/>
  <c r="O44" i="34"/>
  <c r="J44" i="34"/>
  <c r="Q43" i="34"/>
  <c r="P43" i="34"/>
  <c r="J43" i="34"/>
  <c r="Q42" i="34"/>
  <c r="P42" i="34"/>
  <c r="O42" i="34"/>
  <c r="J42" i="34"/>
  <c r="Q41" i="34"/>
  <c r="P41" i="34"/>
  <c r="O41" i="34"/>
  <c r="J41" i="34"/>
  <c r="Q40" i="34"/>
  <c r="P40" i="34"/>
  <c r="J40" i="34"/>
  <c r="Q39" i="34"/>
  <c r="P39" i="34"/>
  <c r="O39" i="34"/>
  <c r="J39" i="34"/>
  <c r="Q38" i="34"/>
  <c r="P38" i="34"/>
  <c r="J38" i="34"/>
  <c r="Q66" i="34"/>
  <c r="J66" i="34"/>
  <c r="O66" i="34"/>
  <c r="R23" i="34" l="1"/>
  <c r="T23" i="34" s="1"/>
  <c r="Y23" i="34" s="1"/>
  <c r="R24" i="34"/>
  <c r="T24" i="34" s="1"/>
  <c r="R53" i="34"/>
  <c r="T53" i="34" s="1"/>
  <c r="Y53" i="34" s="1"/>
  <c r="Y37" i="34"/>
  <c r="R55" i="34"/>
  <c r="T55" i="34" s="1"/>
  <c r="Y55" i="34" s="1"/>
  <c r="R17" i="34"/>
  <c r="T17" i="34" s="1"/>
  <c r="R28" i="34"/>
  <c r="T28" i="34" s="1"/>
  <c r="Y28" i="34" s="1"/>
  <c r="R41" i="34"/>
  <c r="T41" i="34" s="1"/>
  <c r="Y41" i="34" s="1"/>
  <c r="R26" i="34"/>
  <c r="T26" i="34" s="1"/>
  <c r="Y26" i="34" s="1"/>
  <c r="R16" i="34"/>
  <c r="T16" i="34" s="1"/>
  <c r="R19" i="34"/>
  <c r="T19" i="34" s="1"/>
  <c r="R42" i="34"/>
  <c r="T42" i="34" s="1"/>
  <c r="R40" i="34"/>
  <c r="T40" i="34" s="1"/>
  <c r="R52" i="34"/>
  <c r="T52" i="34" s="1"/>
  <c r="Y52" i="34" s="1"/>
  <c r="R48" i="34"/>
  <c r="T48" i="34" s="1"/>
  <c r="Y48" i="34" s="1"/>
  <c r="R39" i="34"/>
  <c r="T39" i="34" s="1"/>
  <c r="Y39" i="34" s="1"/>
  <c r="R54" i="34"/>
  <c r="T54" i="34" s="1"/>
  <c r="Y54" i="34" s="1"/>
  <c r="R51" i="34"/>
  <c r="T51" i="34" s="1"/>
  <c r="Y51" i="34" s="1"/>
  <c r="R50" i="34"/>
  <c r="T50" i="34" s="1"/>
  <c r="Y50" i="34" s="1"/>
  <c r="R22" i="34"/>
  <c r="T22" i="34" s="1"/>
  <c r="R21" i="34"/>
  <c r="T21" i="34" s="1"/>
  <c r="Y21" i="34" s="1"/>
  <c r="R38" i="34"/>
  <c r="T38" i="34" s="1"/>
  <c r="U37" i="34" s="1"/>
  <c r="R47" i="34"/>
  <c r="T47" i="34" s="1"/>
  <c r="R49" i="34"/>
  <c r="T49" i="34" s="1"/>
  <c r="Y49" i="34" s="1"/>
  <c r="R46" i="34"/>
  <c r="T46" i="34" s="1"/>
  <c r="Y45" i="34" s="1"/>
  <c r="R56" i="34"/>
  <c r="T56" i="34" s="1"/>
  <c r="Y56" i="34" s="1"/>
  <c r="R18" i="34"/>
  <c r="T18" i="34" s="1"/>
  <c r="Y18" i="34" s="1"/>
  <c r="R45" i="34"/>
  <c r="T45" i="34" s="1"/>
  <c r="R25" i="34"/>
  <c r="T25" i="34" s="1"/>
  <c r="Y24" i="34" s="1"/>
  <c r="R44" i="34"/>
  <c r="T44" i="34" s="1"/>
  <c r="Y44" i="34" s="1"/>
  <c r="R27" i="34"/>
  <c r="T27" i="34" s="1"/>
  <c r="Y27" i="34" s="1"/>
  <c r="R20" i="34"/>
  <c r="T20" i="34" s="1"/>
  <c r="Y20" i="34" s="1"/>
  <c r="R66" i="34"/>
  <c r="T66" i="34" s="1"/>
  <c r="R43" i="34"/>
  <c r="T43" i="34" s="1"/>
  <c r="Y16" i="34" l="1"/>
  <c r="Y30" i="34" s="1"/>
  <c r="Y31" i="34" s="1"/>
  <c r="Y42" i="34"/>
  <c r="Y66" i="34"/>
  <c r="Y47" i="34"/>
  <c r="U42" i="34"/>
  <c r="U21" i="34"/>
  <c r="U39" i="34"/>
  <c r="U45" i="34"/>
  <c r="U18" i="34"/>
  <c r="U16" i="34"/>
  <c r="U24" i="34"/>
  <c r="Y58" i="34" l="1"/>
  <c r="Y59" i="34" s="1"/>
  <c r="Y68" i="34"/>
  <c r="Y69" i="34" s="1"/>
  <c r="F18" i="15"/>
  <c r="D5" i="34" l="1"/>
  <c r="T42" i="31"/>
  <c r="T43" i="31"/>
  <c r="N28" i="31"/>
  <c r="N29" i="31"/>
  <c r="N30" i="31"/>
  <c r="S30" i="31" s="1"/>
  <c r="O31" i="31"/>
  <c r="T31" i="31" s="1"/>
  <c r="N32" i="31"/>
  <c r="S32" i="31" s="1"/>
  <c r="N33" i="31"/>
  <c r="S33" i="31" s="1"/>
  <c r="N34" i="31"/>
  <c r="S34" i="31" s="1"/>
  <c r="N35" i="31"/>
  <c r="S35" i="31" s="1"/>
  <c r="N36" i="31"/>
  <c r="S36" i="31" s="1"/>
  <c r="N37" i="31"/>
  <c r="S37" i="31" s="1"/>
  <c r="N38" i="31"/>
  <c r="S38" i="31" s="1"/>
  <c r="N39" i="31"/>
  <c r="S39" i="31" s="1"/>
  <c r="N40" i="31"/>
  <c r="S40" i="31" s="1"/>
  <c r="N41" i="31"/>
  <c r="S41" i="31" s="1"/>
  <c r="K28" i="31"/>
  <c r="L28" i="31" s="1"/>
  <c r="K29" i="31"/>
  <c r="L29" i="31" s="1"/>
  <c r="K30" i="31"/>
  <c r="P30" i="31" s="1"/>
  <c r="L31" i="31"/>
  <c r="Q31" i="31" s="1"/>
  <c r="K32" i="31"/>
  <c r="P32" i="31" s="1"/>
  <c r="K33" i="31"/>
  <c r="P33" i="31" s="1"/>
  <c r="K34" i="31"/>
  <c r="P34" i="31" s="1"/>
  <c r="K35" i="31"/>
  <c r="P35" i="31" s="1"/>
  <c r="K36" i="31"/>
  <c r="P36" i="31" s="1"/>
  <c r="K37" i="31"/>
  <c r="P37" i="31" s="1"/>
  <c r="K38" i="31"/>
  <c r="P38" i="31" s="1"/>
  <c r="K39" i="31"/>
  <c r="P39" i="31" s="1"/>
  <c r="K40" i="31"/>
  <c r="P40" i="31" s="1"/>
  <c r="K41" i="31"/>
  <c r="P41" i="31" s="1"/>
  <c r="D35" i="15"/>
  <c r="D34" i="15"/>
  <c r="D33" i="15"/>
  <c r="D32" i="15"/>
  <c r="D36" i="15" s="1"/>
  <c r="B6" i="15" s="1"/>
  <c r="D31" i="15"/>
  <c r="D30" i="15"/>
  <c r="C14" i="33"/>
  <c r="F21" i="15"/>
  <c r="E20" i="10"/>
  <c r="N21" i="10"/>
  <c r="N22" i="10"/>
  <c r="N23" i="10"/>
  <c r="N20" i="10"/>
  <c r="K21" i="10"/>
  <c r="K22" i="10"/>
  <c r="K23" i="10"/>
  <c r="K20" i="10"/>
  <c r="H21" i="10"/>
  <c r="H22" i="10"/>
  <c r="H23" i="10"/>
  <c r="H20" i="10"/>
  <c r="E21" i="10"/>
  <c r="E23" i="10"/>
  <c r="B10" i="33"/>
  <c r="C10" i="33"/>
  <c r="D10" i="33"/>
  <c r="H9" i="20"/>
  <c r="I9" i="20"/>
  <c r="G9" i="20"/>
  <c r="C11" i="6"/>
  <c r="D11" i="6"/>
  <c r="B11" i="6"/>
  <c r="G12" i="5"/>
  <c r="H12" i="5"/>
  <c r="F12" i="5"/>
  <c r="R31" i="31" l="1"/>
  <c r="N42" i="31"/>
  <c r="K42" i="31"/>
  <c r="P42" i="31" s="1"/>
  <c r="R42" i="31" s="1"/>
  <c r="N43" i="31"/>
  <c r="K43" i="31"/>
  <c r="L41" i="31"/>
  <c r="Q41" i="31" s="1"/>
  <c r="L40" i="31"/>
  <c r="Q40" i="31" s="1"/>
  <c r="L39" i="31"/>
  <c r="Q39" i="31" s="1"/>
  <c r="L38" i="31"/>
  <c r="Q38" i="31" s="1"/>
  <c r="L37" i="31"/>
  <c r="Q37" i="31" s="1"/>
  <c r="L36" i="31"/>
  <c r="Q36" i="31" s="1"/>
  <c r="L35" i="31"/>
  <c r="Q35" i="31" s="1"/>
  <c r="L34" i="31"/>
  <c r="Q34" i="31" s="1"/>
  <c r="L32" i="31"/>
  <c r="Q32" i="31" s="1"/>
  <c r="L30" i="31"/>
  <c r="Q30" i="31" s="1"/>
  <c r="O41" i="31"/>
  <c r="T41" i="31" s="1"/>
  <c r="O40" i="31"/>
  <c r="T40" i="31" s="1"/>
  <c r="O39" i="31"/>
  <c r="T39" i="31" s="1"/>
  <c r="O38" i="31"/>
  <c r="T38" i="31" s="1"/>
  <c r="O37" i="31"/>
  <c r="T37" i="31" s="1"/>
  <c r="O36" i="31"/>
  <c r="T36" i="31" s="1"/>
  <c r="O35" i="31"/>
  <c r="T35" i="31" s="1"/>
  <c r="O34" i="31"/>
  <c r="T34" i="31" s="1"/>
  <c r="O33" i="31"/>
  <c r="T33" i="31" s="1"/>
  <c r="O32" i="31"/>
  <c r="T32" i="31" s="1"/>
  <c r="O30" i="31"/>
  <c r="T30" i="31" s="1"/>
  <c r="O29" i="31"/>
  <c r="O28" i="31"/>
  <c r="U31" i="31"/>
  <c r="L33" i="31"/>
  <c r="Q33" i="31" s="1"/>
  <c r="R33" i="31" s="1"/>
  <c r="O21" i="10"/>
  <c r="O20" i="10"/>
  <c r="O23" i="10"/>
  <c r="O22" i="10"/>
  <c r="F14" i="33"/>
  <c r="D14" i="33"/>
  <c r="E14" i="33" s="1"/>
  <c r="P43" i="31" l="1"/>
  <c r="R43" i="31" s="1"/>
  <c r="U33" i="31"/>
  <c r="U37" i="31"/>
  <c r="U41" i="31"/>
  <c r="R30" i="31"/>
  <c r="U43" i="31"/>
  <c r="U34" i="31"/>
  <c r="U38" i="31"/>
  <c r="R32" i="31"/>
  <c r="R37" i="31"/>
  <c r="U42" i="31"/>
  <c r="R36" i="31"/>
  <c r="R41" i="31"/>
  <c r="U32" i="31"/>
  <c r="U36" i="31"/>
  <c r="U40" i="31"/>
  <c r="R35" i="31"/>
  <c r="R39" i="31"/>
  <c r="R40" i="31"/>
  <c r="U30" i="31"/>
  <c r="U35" i="31"/>
  <c r="U39" i="31"/>
  <c r="R34" i="31"/>
  <c r="R38" i="31"/>
  <c r="G14" i="33"/>
  <c r="H14" i="33" s="1"/>
  <c r="D5" i="33" l="1"/>
  <c r="J15" i="18" l="1"/>
  <c r="E5" i="33"/>
  <c r="L15" i="18" l="1"/>
  <c r="G21" i="5" l="1"/>
  <c r="F21" i="5"/>
  <c r="G20" i="5" l="1"/>
  <c r="F20" i="5"/>
  <c r="J19" i="5" l="1"/>
  <c r="J20" i="5"/>
  <c r="J21" i="5"/>
  <c r="F19" i="5"/>
  <c r="G19" i="5"/>
  <c r="N21" i="5" l="1"/>
  <c r="I21" i="5"/>
  <c r="O21" i="5"/>
  <c r="P21" i="5"/>
  <c r="O20" i="5"/>
  <c r="N20" i="5"/>
  <c r="P20" i="5"/>
  <c r="I20" i="5"/>
  <c r="N19" i="5"/>
  <c r="I19" i="5"/>
  <c r="O19" i="5"/>
  <c r="P19" i="5"/>
  <c r="F28" i="5"/>
  <c r="F29" i="5"/>
  <c r="F30" i="5"/>
  <c r="F26" i="5"/>
  <c r="F27" i="5"/>
  <c r="B26" i="5"/>
  <c r="J17" i="5"/>
  <c r="F17" i="5"/>
  <c r="G17" i="5"/>
  <c r="G18" i="5"/>
  <c r="F18" i="5"/>
  <c r="O18" i="5" l="1"/>
  <c r="I18" i="5"/>
  <c r="N18" i="5"/>
  <c r="P18" i="5"/>
  <c r="P17" i="5"/>
  <c r="O17" i="5"/>
  <c r="N17" i="5"/>
  <c r="I17" i="5"/>
  <c r="Q21" i="5"/>
  <c r="S21" i="5" s="1"/>
  <c r="E30" i="5" s="1"/>
  <c r="H30" i="5" s="1"/>
  <c r="Q20" i="5"/>
  <c r="S20" i="5" s="1"/>
  <c r="E29" i="5" s="1"/>
  <c r="H29" i="5" s="1"/>
  <c r="Q19" i="5"/>
  <c r="S19" i="5" s="1"/>
  <c r="E28" i="5" s="1"/>
  <c r="H28" i="5" s="1"/>
  <c r="Q17" i="5" l="1"/>
  <c r="S17" i="5" s="1"/>
  <c r="E26" i="5" s="1"/>
  <c r="H26" i="5" s="1"/>
  <c r="O26" i="5"/>
  <c r="M26" i="5"/>
  <c r="I26" i="5"/>
  <c r="I29" i="5"/>
  <c r="O29" i="5"/>
  <c r="M29" i="5"/>
  <c r="I28" i="5"/>
  <c r="M28" i="5"/>
  <c r="O28" i="5"/>
  <c r="I30" i="5"/>
  <c r="O30" i="5"/>
  <c r="M30" i="5"/>
  <c r="A30" i="5"/>
  <c r="A29" i="5"/>
  <c r="A28" i="5"/>
  <c r="A21" i="5"/>
  <c r="A20" i="5"/>
  <c r="A19" i="5"/>
  <c r="A26" i="5"/>
  <c r="A17" i="5"/>
  <c r="A18" i="5"/>
  <c r="F23" i="24" l="1"/>
  <c r="AC17" i="24"/>
  <c r="J17" i="24"/>
  <c r="V17" i="24" s="1"/>
  <c r="H12" i="24"/>
  <c r="H17" i="24" s="1"/>
  <c r="G12" i="24"/>
  <c r="G17" i="24" s="1"/>
  <c r="F12" i="24"/>
  <c r="F17" i="24" s="1"/>
  <c r="G16" i="20"/>
  <c r="J16" i="20"/>
  <c r="V16" i="20" s="1"/>
  <c r="J15" i="20"/>
  <c r="V15" i="20" s="1"/>
  <c r="G15" i="20"/>
  <c r="G22" i="15"/>
  <c r="G20" i="15"/>
  <c r="G19" i="15"/>
  <c r="G18" i="15"/>
  <c r="G21" i="15" s="1"/>
  <c r="F22" i="15"/>
  <c r="F20" i="15"/>
  <c r="F19" i="15"/>
  <c r="E11" i="15"/>
  <c r="Q27" i="11"/>
  <c r="A27" i="5"/>
  <c r="J18" i="5"/>
  <c r="Q18" i="5" s="1"/>
  <c r="S18" i="5" s="1"/>
  <c r="H16" i="6"/>
  <c r="G16" i="6"/>
  <c r="F16" i="6"/>
  <c r="I16" i="6" s="1"/>
  <c r="J16" i="6"/>
  <c r="R17" i="31" l="1"/>
  <c r="R19" i="31"/>
  <c r="H18" i="15"/>
  <c r="K18" i="15" s="1"/>
  <c r="N18" i="15" s="1"/>
  <c r="P17" i="24"/>
  <c r="Z17" i="24" s="1"/>
  <c r="O17" i="24"/>
  <c r="Y17" i="24" s="1"/>
  <c r="T17" i="24"/>
  <c r="I17" i="24"/>
  <c r="U17" i="24" s="1"/>
  <c r="N17" i="24"/>
  <c r="X17" i="24" s="1"/>
  <c r="H22" i="15"/>
  <c r="K22" i="15" s="1"/>
  <c r="H20" i="15"/>
  <c r="K20" i="15" s="1"/>
  <c r="H21" i="15"/>
  <c r="K21" i="15" s="1"/>
  <c r="H19" i="15"/>
  <c r="Q28" i="11"/>
  <c r="P28" i="11"/>
  <c r="P16" i="6"/>
  <c r="O16" i="6"/>
  <c r="N16" i="6"/>
  <c r="M18" i="15" l="1"/>
  <c r="T19" i="31"/>
  <c r="F29" i="31"/>
  <c r="T17" i="31"/>
  <c r="F28" i="31"/>
  <c r="L18" i="15"/>
  <c r="M20" i="15"/>
  <c r="N20" i="15"/>
  <c r="L20" i="15"/>
  <c r="N22" i="15"/>
  <c r="M22" i="15"/>
  <c r="L22" i="15"/>
  <c r="C7" i="15" s="1"/>
  <c r="N21" i="15"/>
  <c r="M21" i="15"/>
  <c r="L21" i="15"/>
  <c r="Q16" i="6"/>
  <c r="E27" i="5"/>
  <c r="H27" i="5" s="1"/>
  <c r="AB17" i="24"/>
  <c r="AD17" i="24" s="1"/>
  <c r="Q17" i="24"/>
  <c r="S17" i="24" s="1"/>
  <c r="K19" i="15"/>
  <c r="S28" i="31" l="1"/>
  <c r="P28" i="31"/>
  <c r="S29" i="31"/>
  <c r="P29" i="31"/>
  <c r="D7" i="15"/>
  <c r="E7" i="15"/>
  <c r="T28" i="31"/>
  <c r="Q28" i="31"/>
  <c r="Q29" i="31"/>
  <c r="T29" i="31"/>
  <c r="L19" i="15"/>
  <c r="C6" i="15" s="1"/>
  <c r="I53" i="18" s="1"/>
  <c r="M19" i="15"/>
  <c r="M23" i="15" s="1"/>
  <c r="N19" i="15"/>
  <c r="S16" i="6"/>
  <c r="C22" i="6" s="1"/>
  <c r="H22" i="6" s="1"/>
  <c r="M27" i="5"/>
  <c r="O27" i="5"/>
  <c r="I27" i="5"/>
  <c r="I31" i="5" s="1"/>
  <c r="D23" i="24"/>
  <c r="E23" i="24" s="1"/>
  <c r="H23" i="24" s="1"/>
  <c r="D24" i="24"/>
  <c r="E24" i="24" s="1"/>
  <c r="K23" i="15"/>
  <c r="U29" i="31" l="1"/>
  <c r="L53" i="18"/>
  <c r="N23" i="15"/>
  <c r="D6" i="15"/>
  <c r="L23" i="15"/>
  <c r="U28" i="31"/>
  <c r="R28" i="31"/>
  <c r="R29" i="31"/>
  <c r="H55" i="31"/>
  <c r="R15" i="31"/>
  <c r="P23" i="24"/>
  <c r="N23" i="24"/>
  <c r="P24" i="24"/>
  <c r="N24" i="24"/>
  <c r="C6" i="6"/>
  <c r="O31" i="5"/>
  <c r="C6" i="5"/>
  <c r="C7" i="5"/>
  <c r="M31" i="5"/>
  <c r="D6" i="5"/>
  <c r="J53" i="18" l="1"/>
  <c r="D6" i="6"/>
  <c r="D7" i="5"/>
  <c r="T15" i="31"/>
  <c r="F27" i="31"/>
  <c r="N25" i="24"/>
  <c r="D7" i="24" s="1"/>
  <c r="P25" i="24"/>
  <c r="D6" i="24" s="1"/>
  <c r="P27" i="31" l="1"/>
  <c r="S27" i="31"/>
  <c r="S44" i="31" s="1"/>
  <c r="Q27" i="31"/>
  <c r="E6" i="24"/>
  <c r="E7" i="24"/>
  <c r="I34" i="18"/>
  <c r="T27" i="31"/>
  <c r="T44" i="31" s="1"/>
  <c r="E5" i="31" s="1"/>
  <c r="L84" i="18" s="1"/>
  <c r="Q44" i="31"/>
  <c r="F16" i="20"/>
  <c r="P16" i="20" s="1"/>
  <c r="Z16" i="20" s="1"/>
  <c r="F15" i="20"/>
  <c r="I15" i="20" s="1"/>
  <c r="U15" i="20" s="1"/>
  <c r="I17" i="18" l="1"/>
  <c r="D5" i="31"/>
  <c r="J84" i="18" s="1"/>
  <c r="H56" i="31"/>
  <c r="U27" i="31"/>
  <c r="U44" i="31" s="1"/>
  <c r="E6" i="31"/>
  <c r="L85" i="18" s="1"/>
  <c r="R27" i="31"/>
  <c r="R44" i="31" s="1"/>
  <c r="P44" i="31"/>
  <c r="O16" i="20"/>
  <c r="Y16" i="20" s="1"/>
  <c r="N15" i="20"/>
  <c r="X15" i="20" s="1"/>
  <c r="P15" i="20"/>
  <c r="Z15" i="20" s="1"/>
  <c r="O15" i="20"/>
  <c r="Y15" i="20" s="1"/>
  <c r="T16" i="20"/>
  <c r="T15" i="20"/>
  <c r="I16" i="20"/>
  <c r="U16" i="20" s="1"/>
  <c r="N16" i="20"/>
  <c r="X16" i="20" s="1"/>
  <c r="I16" i="18" l="1"/>
  <c r="D6" i="31"/>
  <c r="J85" i="18" s="1"/>
  <c r="J78" i="18"/>
  <c r="AB15" i="20"/>
  <c r="AD15" i="20" s="1"/>
  <c r="Q15" i="20"/>
  <c r="D21" i="20" s="1"/>
  <c r="AB16" i="20"/>
  <c r="AD16" i="20" s="1"/>
  <c r="Q16" i="20"/>
  <c r="S15" i="20" l="1"/>
  <c r="J21" i="20"/>
  <c r="N21" i="20"/>
  <c r="S16" i="20"/>
  <c r="D22" i="20"/>
  <c r="J22" i="20" l="1"/>
  <c r="J23" i="20" s="1"/>
  <c r="D5" i="20" s="1"/>
  <c r="N22" i="20"/>
  <c r="E5" i="20"/>
  <c r="F24" i="24"/>
  <c r="H24" i="24" s="1"/>
  <c r="J51" i="18" l="1"/>
  <c r="J16" i="18" s="1"/>
  <c r="L51" i="18"/>
  <c r="L16" i="18" s="1"/>
  <c r="F25" i="24"/>
  <c r="L50" i="18" l="1"/>
  <c r="L17" i="18" s="1"/>
  <c r="J50" i="18"/>
  <c r="J34" i="18" l="1"/>
  <c r="J33" i="18" s="1"/>
  <c r="J17" i="18"/>
  <c r="J10" i="18" s="1"/>
  <c r="L34" i="18"/>
  <c r="J7" i="18" l="1"/>
  <c r="J6" i="18"/>
  <c r="J9" i="18"/>
  <c r="I10" i="18"/>
  <c r="I6" i="18" s="1"/>
  <c r="I78" i="18"/>
  <c r="I33" i="18" s="1"/>
  <c r="I9" i="18" l="1"/>
  <c r="I7" i="18"/>
  <c r="L10" i="18"/>
  <c r="L78" i="18"/>
  <c r="L33" i="18" s="1"/>
  <c r="L9" i="18" l="1"/>
  <c r="L7" i="18"/>
  <c r="L6" i="18"/>
</calcChain>
</file>

<file path=xl/comments1.xml><?xml version="1.0" encoding="utf-8"?>
<comments xmlns="http://schemas.openxmlformats.org/spreadsheetml/2006/main">
  <authors>
    <author>tc={AD719A21-F4FC-4050-B8EF-098FA56093DE}</author>
  </authors>
  <commentList>
    <comment ref="L43" authorId="0">
      <text>
        <r>
          <rPr>
            <sz val="11"/>
            <color theme="1"/>
            <rFont val="Aptos Narrow"/>
            <family val="2"/>
            <charset val="186"/>
            <scheme val="minor"/>
          </rPr>
          <t>[Threaded comment]
Your version of Excel allows you to read this threaded comment; however, any edits to it will get removed if the file is opened in a newer version of Excel. Learn more: https://go.microsoft.com/fwlink/?linkid=870924
Comment:
    Nav pareizās summas no sheet paņemtas</t>
        </r>
      </text>
    </comment>
  </commentList>
</comments>
</file>

<file path=xl/sharedStrings.xml><?xml version="1.0" encoding="utf-8"?>
<sst xmlns="http://schemas.openxmlformats.org/spreadsheetml/2006/main" count="2757" uniqueCount="1096">
  <si>
    <t>Nr.p.k.</t>
  </si>
  <si>
    <t>Pasākums</t>
  </si>
  <si>
    <t>Darbības rezultāts</t>
  </si>
  <si>
    <t>Rezultatīvais rādītājs</t>
  </si>
  <si>
    <t>Budžeta programmas (apakšprogrammas kods un nosaukums)</t>
  </si>
  <si>
    <t>Uzdevumu īstenošanai plānotais finansējums atbilstoši likumam "Par valsts budžetu 2025.gadam un budžeta ietvaru 2025., 2026. un 2027.gadam"</t>
  </si>
  <si>
    <t>Atbildīgā institūcija</t>
  </si>
  <si>
    <t>Līdzatbildīgās institūcijas</t>
  </si>
  <si>
    <t>Finansējuma avots</t>
  </si>
  <si>
    <t>Termiņš</t>
  </si>
  <si>
    <t>2025.gads</t>
  </si>
  <si>
    <t>2026.gads</t>
  </si>
  <si>
    <t>2027.gads</t>
  </si>
  <si>
    <t>Turpmākajā laikposmā līdz pasākuma pabeigšanai (ja pasākuma īstenošana ir terminēta)</t>
  </si>
  <si>
    <t>Turpmāk ik gadu (ja pasākuma izpilde nav terminēta)</t>
  </si>
  <si>
    <t>KOPĒJAIS NEPIECIEŠAMAIS FINANSĒJUMS PLĀNA REALIZĀCIJAI:</t>
  </si>
  <si>
    <t>Finansējums valsts pamatfunkciju īstenošanai</t>
  </si>
  <si>
    <t>Finansējums ES politiku instrumentu un pārējās ĀFP līdzfinansēto un finansēto projektu un pasākumu īstenošanai</t>
  </si>
  <si>
    <t>Veselības ministrija</t>
  </si>
  <si>
    <t>VBF</t>
  </si>
  <si>
    <t>ES fondi</t>
  </si>
  <si>
    <t>33.03.00 "Kompensējamo medikamentu un materiālu apmaksāšana"</t>
  </si>
  <si>
    <t>33.04.00 "Centralizēta medikamentu un materiālu iegāde"</t>
  </si>
  <si>
    <t>33.14.00 "Primārās ambulatorās veselības aprūpes nodrošināšana"</t>
  </si>
  <si>
    <t>33.15.00 "Laboratorisko izmeklējumu nodrošināšana ambulatorajā aprūpē"</t>
  </si>
  <si>
    <t>33.16.00 "Pārējo ambulatoro veselības aprūpes pakalpojumu nodrošināšana"</t>
  </si>
  <si>
    <t>33.18.00 "Plānveida stacionāro veselības aprūpes pakalpojumu nodrošināšana"</t>
  </si>
  <si>
    <t>45.01.00 "Veselības aprūpes finansējuma administrēšana un ekonomiskā novērtēšana"</t>
  </si>
  <si>
    <t>1. Rīcības virziens</t>
  </si>
  <si>
    <t>SAS profilakse, tās veicināšana un riska faktoru ietekmes mazināšana</t>
  </si>
  <si>
    <t>1.1. Veselību veicinošo paradumu uzlabošana populācijas līmenī</t>
  </si>
  <si>
    <t> </t>
  </si>
  <si>
    <t>1.1.1.</t>
  </si>
  <si>
    <t>SPKC</t>
  </si>
  <si>
    <t>2027. gada II pusgads.  (Turpmāk ik gadu?)</t>
  </si>
  <si>
    <t>1.1.2.</t>
  </si>
  <si>
    <t xml:space="preserve">Izglītot iedzīvotājus par regulāras paškontroles veikšanu SAS profilaksei, lai mazinātu negatīvo ietekmi uz veselību.  </t>
  </si>
  <si>
    <t xml:space="preserve">Palielinājusies iedzīvotāju izpratne par paškontroles veikšanu SAS profilaksei, kā arī līdzestība savas veselības veicināšanā. </t>
  </si>
  <si>
    <t>1.1.3.</t>
  </si>
  <si>
    <t xml:space="preserve">SPKC, VM </t>
  </si>
  <si>
    <t>2027. gada II pusgads (Turpmāk ik gadu)</t>
  </si>
  <si>
    <t>1.1.4.</t>
  </si>
  <si>
    <t>Samazināt saslimstību ar gripu un tās izraisīto komplikāciju skaitu</t>
  </si>
  <si>
    <t>1.1.4.1. Palielināt valsts apmaksāto devu skaitu riska grupu vakcinācijai pret gripu</t>
  </si>
  <si>
    <t>Vakcinācijas pret gripu aptveres palielinājums par 30% riska grupās attiecībā pret iepriekšējā sezonā izlietoto vakcīnu devu skaitu</t>
  </si>
  <si>
    <t>33.04.00 Centralizēta medikamentu un materiālu iegāde</t>
  </si>
  <si>
    <t>33.14.00 Primārās ambulatorās veselības aprūpes nodrošināšana</t>
  </si>
  <si>
    <t>1.1.4.2. Īstenot gripas profilakses kampaņu gripas vakcinācijas aptveres palielināšanai</t>
  </si>
  <si>
    <t>Veikta vismaz viena sabiedrības informēšanas kampaņa pirms gripas sezonas sākuma</t>
  </si>
  <si>
    <t>2. Rīcības virziens</t>
  </si>
  <si>
    <t>Savlaicīga riska faktoru atklāšana, agrīna slimību diagnostika, ārstēšana un rehabilitācija</t>
  </si>
  <si>
    <t>2.1. Savlaicīga riska faktoru un slimību agrīna diagnostika</t>
  </si>
  <si>
    <t>2.1.2.</t>
  </si>
  <si>
    <t>Uzlabot cukura diabēta diagnostiku PVA</t>
  </si>
  <si>
    <t>2.1.2.1. Paplašināta cukura diabēta un prediabēta skrīninga programma</t>
  </si>
  <si>
    <t>33.15.00 Laboratorisko izmeklējumu nodrošināšana ambulatorajā aprūpē</t>
  </si>
  <si>
    <t>NVD</t>
  </si>
  <si>
    <t>LEA</t>
  </si>
  <si>
    <t>2.1.2.2. Uzlabota cukura diabēta pacientu diagnostika, skaidri nodalot ģimenes ārsta un endokrinologa pacientu plūsmu</t>
  </si>
  <si>
    <t>Izstrādāts savlaicīga cukura diabēta diagnostikas algoritms, kā arī pacienta ceļš diagnostikai</t>
  </si>
  <si>
    <t>VM</t>
  </si>
  <si>
    <t>LEA, LLĢĀA, LĢĀA</t>
  </si>
  <si>
    <t>2026.gada II pusgads</t>
  </si>
  <si>
    <t>2.1.3.</t>
  </si>
  <si>
    <t>2.1.4.</t>
  </si>
  <si>
    <t>2026. gada II pusgads (turpmāk ik gadu)</t>
  </si>
  <si>
    <t>33.16.00 Pārējo ambulatoro veselības aprūpes pakalpojumu nodrošināšana</t>
  </si>
  <si>
    <t>2026. gada II pusgads</t>
  </si>
  <si>
    <t>2.1.5.</t>
  </si>
  <si>
    <t>Uzlabot SAS izmeklējumu pieejamību SAVA</t>
  </si>
  <si>
    <t>33.18.00 Plānveida stacionāro veselības aprūpes pakalpojumu nodrošināšana</t>
  </si>
  <si>
    <t>2027.gada I pusgads (turpmāk ik gadu)</t>
  </si>
  <si>
    <t>Izstrādāti vienoti doplerogrāfijas (galvas, kakla un kāju asinsvadiem) izmeklējumu apraksti un pacientu ceļi</t>
  </si>
  <si>
    <t>2027.gada I pusgads</t>
  </si>
  <si>
    <t>Pārskatīta ārstu kompetence ehokardiogrāfijas izmeklējumu veikšanai un definētas prasības iekārtām</t>
  </si>
  <si>
    <t>2027.gada II pusgads</t>
  </si>
  <si>
    <t>2.1.6.</t>
  </si>
  <si>
    <t>321 pacienti saņēmuši kardiopulmonālā testa izmeklējumu</t>
  </si>
  <si>
    <t>2026.gada I pusgads (turpmāk ik gadu)</t>
  </si>
  <si>
    <t>3 350 pacienti saņēmuši no 18-24h asinsspiediena monitorēšanu</t>
  </si>
  <si>
    <t>2.1.7.</t>
  </si>
  <si>
    <t>Uzlabot asinsvadu saslimšanu diagnostiku</t>
  </si>
  <si>
    <t>LAĶB</t>
  </si>
  <si>
    <t>2.2. SAS un to saistīto slimību pacientu uzraudzības uzlabošana PVA un SAVA</t>
  </si>
  <si>
    <t>2.2.1.</t>
  </si>
  <si>
    <t>5 000 pacientu saņēmuši hroniskas slimības intensificētu dinamisko novērošanu 2 500 pacienti saņēmuši elektrokardiostimulatora darbības pārbaudi un programmēšanu, 5 000 pacientiem vismaz 1 reizi pēc simptomātiska insulta vai tranzitoras išēmiskas lēkmes saņemta neirologa konsultācija un veikta neirosonoloģiskā izmeklēšana</t>
  </si>
  <si>
    <t>2027. gada II pusgads (turpmāk ik gadu)</t>
  </si>
  <si>
    <t>2.2.2.</t>
  </si>
  <si>
    <t>63.08.00 Eiropas Sociālā fonda Plus (ESF+) projektu īstenošana (2021-2027)   </t>
  </si>
  <si>
    <t>2.2.3.</t>
  </si>
  <si>
    <t>2.2.4.</t>
  </si>
  <si>
    <t>LAĀA</t>
  </si>
  <si>
    <t>Izstrādāts klīniskais algoritms un pacienta ceļš diabētiskās pēdas un trofisko čūlu aprūpei</t>
  </si>
  <si>
    <t>2.2.5.</t>
  </si>
  <si>
    <t>LNA, LNMAA</t>
  </si>
  <si>
    <t>2027. gada II pusgads</t>
  </si>
  <si>
    <t>2.2.6.</t>
  </si>
  <si>
    <t>Izstrādāts klīniskais algoritms un pacientu ceļš perifēro artēriju slimību, kakla asinsvadu aterosklerozes un aortas aneirismu dinamiskai novērošanai</t>
  </si>
  <si>
    <t>2.2.7.</t>
  </si>
  <si>
    <t xml:space="preserve">2.3. Medikamentu pieejamības uzlabošana </t>
  </si>
  <si>
    <t>2.3.1.</t>
  </si>
  <si>
    <t>2.3.1.3. Kompensēti antikoagulanti pacientiem ar plaušu trombemboliju 12 mēnešu garumā no diagnozes uzstādīšanas brīža</t>
  </si>
  <si>
    <t>2.3.2.</t>
  </si>
  <si>
    <t>2.3.3.</t>
  </si>
  <si>
    <t>2.3.4.</t>
  </si>
  <si>
    <t>2.3.5.</t>
  </si>
  <si>
    <t>Palielināt kardiovaskulāro pacientu līdzestību medikamentu lietošanā</t>
  </si>
  <si>
    <t>Uzlabot glikozes līmeņa monitorēšanu I tipa cukura diabēta pacientiem no 18 līdz 24 gadu vecumam</t>
  </si>
  <si>
    <t>2.4.1.</t>
  </si>
  <si>
    <t>Izvērtēt pašreizējo situāciju akūta insulta ārstēšanā, insulta sekundārajā profilaksē, pacientu ilgtermiņa novērošanā un rehabilitācijā</t>
  </si>
  <si>
    <t>2.4.2.</t>
  </si>
  <si>
    <t>2.4.2.1. Nodrošināta vienota akūta koronāra sindroma simptomu atpazīšana un diagnostikas interpretācija veselības aprūpes darbinieku vidū</t>
  </si>
  <si>
    <t>45.01.00 Veselības aprūpes finansējuma administrēšana un ekonomiskā novērtēšana</t>
  </si>
  <si>
    <t>2.4.2.2. Veicināta vienota rīcība akūta koronāra sindroma gadījumā NMP etapā</t>
  </si>
  <si>
    <t>2.4.3.</t>
  </si>
  <si>
    <t>2.4.3.1. Pārskatīts stacionārā un dienas stacionārā veicamo manipulāciju klāsts, pacientu plūsmas strukturēšanai</t>
  </si>
  <si>
    <t>20% stacionārā ārstējamo pacientu pārvirzīti aritmoloģiskas intervences saņemšanai dienas stacionārā, tādējādi atbrīvojot vietu pacientiem stacionāra pakalpojumu saņemšanai aritmoloģijā</t>
  </si>
  <si>
    <t>PSKUS, RAKUS</t>
  </si>
  <si>
    <t>Pārskatīti radiofrekventās katetra ablācijas tarifi un diagnostikas manipulācijas aritmijas diagnostikai atbilstoši faktiskajām izmaksām</t>
  </si>
  <si>
    <t>2.4.4.</t>
  </si>
  <si>
    <t>2.4.5.</t>
  </si>
  <si>
    <t>2.4.6.</t>
  </si>
  <si>
    <t>PSKUS</t>
  </si>
  <si>
    <t>2.4.7.</t>
  </si>
  <si>
    <t>2027.gada II pusgads (turpmāk ik gadu)</t>
  </si>
  <si>
    <t>2.4.8.</t>
  </si>
  <si>
    <t>2.4.9.</t>
  </si>
  <si>
    <t>2.4.10.</t>
  </si>
  <si>
    <t xml:space="preserve">Veicināt pāreju pieaugušo pacienta vecumā uz PSKUS ar bērnībā operētu kombinētu sirdskaiti </t>
  </si>
  <si>
    <t>2.4.11.</t>
  </si>
  <si>
    <t>2027. gada I pusgads</t>
  </si>
  <si>
    <t>2.5.1.</t>
  </si>
  <si>
    <t>Izvērtēt līdzšinējo rehabilitācijas pieejamību uzreiz pēc insulta/cerebrovaskulāras saslimšanas akūtā perioda</t>
  </si>
  <si>
    <t>2.5.2.</t>
  </si>
  <si>
    <t>2.6.1.</t>
  </si>
  <si>
    <t>Sekmēt kvalitatīvu ārstēšanu insulta, AKS, aritmiju un sirds mazspējas pacientiem</t>
  </si>
  <si>
    <t>Izvērtēti līdzšinējie un definēti kvalitātes kritēriji sekmīgai insulta, AKS, aritmiju un sirds mazspējas ārstēšanai</t>
  </si>
  <si>
    <t>2.6.2.</t>
  </si>
  <si>
    <t>Izvērtēt nāves cēloņa medicīnisko apliecību kvalitāti</t>
  </si>
  <si>
    <t>Realizēts Nāves cēloņa medicīnisko apliecību kvalitātes kontroles pētījums, nodrošinot rezultātu un iespējamo neatbilstību analīzi</t>
  </si>
  <si>
    <t>3. Rīcības virziens</t>
  </si>
  <si>
    <t>Veselības aprūpes personāla zināšanu un prasmju pilnveidošana</t>
  </si>
  <si>
    <t>3.1. Ārstniecības personu apmācība</t>
  </si>
  <si>
    <t>3.1.1.</t>
  </si>
  <si>
    <t>Apmācīt veselības aprūpes speciālistus, lai veicinātu pacientu informētību par riska faktoriem, savlaicīgu SAS un to saistīto slimību diagnostiku un šo slimību uzraudzību saskaņā ar izstrādātājiem klīniskajiem algoritmiem un pacientu ceļiem</t>
  </si>
  <si>
    <t>VM, SPKC</t>
  </si>
  <si>
    <t>3.1.1.2. Pilnveidotas veselības aprūpes speciālistu zināšanas PVA un SAVA cukura diabēta slimības novērošanai, komplikāciju diagnostikā un ārstēšanā, kā arī hronisku nieru slimības tālākai uzraudzībai, lai optimizētu pacientu plūsmu pie speciālistiem</t>
  </si>
  <si>
    <t>3.1.2.</t>
  </si>
  <si>
    <t>Pilnveidot veselības aprūpes personāla komunikācijas prasmes ar pacientiem</t>
  </si>
  <si>
    <t>3.1.3.</t>
  </si>
  <si>
    <t>Apmācīt veselības aprūpes speciālistus un veicināt pacientu informētību, līdzestību medikamentu lietošanā</t>
  </si>
  <si>
    <t>Veikta ārstniecības personu izglītošana, kas pacientiem nozīmē medikamentus, medikamentu optimizācijas veicināšanai, polifarmācijas mazināšanai, dodot priekšroku medikamentu kombinācijām, kas ir pierādījušas savu efektu un veicina pacientu līdzestību</t>
  </si>
  <si>
    <t>VM, ZVA</t>
  </si>
  <si>
    <t>3.1.4.</t>
  </si>
  <si>
    <t>Apmācīt veselības aprūpes speciālistus cerebrovaskulāru slimību novēršanai</t>
  </si>
  <si>
    <t>Pilnveidotas zināšanas PVA un citu nozaru speciālistiem par cerebrovaskulāro slimību riska faktoru atpazīšanu, primārās profilakses iespējām, insulta novēršanu un riska faktoru mazināšanu</t>
  </si>
  <si>
    <t>3.1.5.</t>
  </si>
  <si>
    <t>Stiprināt ārstu kompetences diagnožu un nāves cēloņu kodēšanā</t>
  </si>
  <si>
    <t>Pilnveidotas ārstu zināšanas un prasmes diagnožu un nāves cēloņu kodēšanā saskaņā ar aktuālo SSK redakciju</t>
  </si>
  <si>
    <t>Apakšprogrammas nosaukums</t>
  </si>
  <si>
    <t>Sezona</t>
  </si>
  <si>
    <t>Vakcīnas tips</t>
  </si>
  <si>
    <t>Vakcīnu skaits</t>
  </si>
  <si>
    <t>Cena ar PVN</t>
  </si>
  <si>
    <t>Apskate un vakcīnu ievade</t>
  </si>
  <si>
    <t>Kopā ar PVN</t>
  </si>
  <si>
    <t>2026/2027</t>
  </si>
  <si>
    <t>Intranazālā (Fluenz)</t>
  </si>
  <si>
    <t>Augstas devas (Efluelda vai Fluad)</t>
  </si>
  <si>
    <t>Standarta (influvac)</t>
  </si>
  <si>
    <t>Kopā:</t>
  </si>
  <si>
    <t>no tā:</t>
  </si>
  <si>
    <t>Budžeta apakšprogramma 33.04.00</t>
  </si>
  <si>
    <t>Budžeta apakšprogramma 33.14.00</t>
  </si>
  <si>
    <t>Papildu nepieciešamais finansējums 2026.gadam:</t>
  </si>
  <si>
    <t>Cena ar PVN*</t>
  </si>
  <si>
    <t>2027/2028</t>
  </si>
  <si>
    <t>Papildu nepieciešamais finansējums 2027.gadam:</t>
  </si>
  <si>
    <t>2028/2029</t>
  </si>
  <si>
    <t>Papildu nepieciešamais finansējums 2028.gadam un turpmākik gadu:</t>
  </si>
  <si>
    <t>Izpilde, %</t>
  </si>
  <si>
    <t>Esošais finansējums</t>
  </si>
  <si>
    <t>Manipulācijas nosaukums</t>
  </si>
  <si>
    <t>Manipulācijas kods</t>
  </si>
  <si>
    <t>Tarifs, euro</t>
  </si>
  <si>
    <t>Plānotais manipulāciju skaits pacientam gadā</t>
  </si>
  <si>
    <t>Glikoze asinīs</t>
  </si>
  <si>
    <t>41096</t>
  </si>
  <si>
    <t>Iedzīvotāju skaits vecuma grupā 35-39 gadi</t>
  </si>
  <si>
    <t>10 % iedzīvotāju  skaita vecuma grupā 35-39 gadi</t>
  </si>
  <si>
    <t>2024. gadā unikālajaiem pacientiem veiktais manipulāciju skaits vecuma grupās</t>
  </si>
  <si>
    <t>Vecums</t>
  </si>
  <si>
    <t>Unikālo pacientu skaits</t>
  </si>
  <si>
    <t>Kopā</t>
  </si>
  <si>
    <t>Esošais finansējums*</t>
  </si>
  <si>
    <t>Manip. tarifs, eiro</t>
  </si>
  <si>
    <t>Pacienta līdmaksājums, eiro</t>
  </si>
  <si>
    <t>Plānotais manipulāciju skaits vienam pacientam gadā</t>
  </si>
  <si>
    <t>Plānotais ambulatoro pacientu skaits 2027. gadam*</t>
  </si>
  <si>
    <t>Lipoproteīns (a)</t>
  </si>
  <si>
    <t>* pieņemot, ka atsaucība būtu 30 % ik gadu</t>
  </si>
  <si>
    <t>Gads</t>
  </si>
  <si>
    <t>Vecums 2025. gadā</t>
  </si>
  <si>
    <t>Pacientu skaits</t>
  </si>
  <si>
    <t>Finansējums</t>
  </si>
  <si>
    <t>39-74 gadi</t>
  </si>
  <si>
    <t>38-73 gadi</t>
  </si>
  <si>
    <t>37-72 gadi</t>
  </si>
  <si>
    <t>36-71 gadi</t>
  </si>
  <si>
    <t>2025. gada statistikas dati no data.stat.gov.lv</t>
  </si>
  <si>
    <t>35 gadi</t>
  </si>
  <si>
    <t>36 gadi</t>
  </si>
  <si>
    <t>37 gadi</t>
  </si>
  <si>
    <t>38 gadi</t>
  </si>
  <si>
    <t>39 gadi</t>
  </si>
  <si>
    <t>40 gadi</t>
  </si>
  <si>
    <t>41 gads</t>
  </si>
  <si>
    <t>42 gadi</t>
  </si>
  <si>
    <t>43 gadi</t>
  </si>
  <si>
    <t>44 gadi</t>
  </si>
  <si>
    <t>45 gadi</t>
  </si>
  <si>
    <t>46 gadi</t>
  </si>
  <si>
    <t>47 gadi</t>
  </si>
  <si>
    <t>48 gadi</t>
  </si>
  <si>
    <t>49 gadi</t>
  </si>
  <si>
    <t>50 gadi</t>
  </si>
  <si>
    <t>51 gads</t>
  </si>
  <si>
    <t>52 gadi</t>
  </si>
  <si>
    <t>53 gadi</t>
  </si>
  <si>
    <t>54 gadi</t>
  </si>
  <si>
    <t>55 gadi</t>
  </si>
  <si>
    <t>56 gadi</t>
  </si>
  <si>
    <t>57 gadi</t>
  </si>
  <si>
    <t>58 gadi</t>
  </si>
  <si>
    <t>59 gadi</t>
  </si>
  <si>
    <t>60 gadi</t>
  </si>
  <si>
    <t>61 gads</t>
  </si>
  <si>
    <t>62 gadi</t>
  </si>
  <si>
    <t>63 gadi</t>
  </si>
  <si>
    <t>64 gadi</t>
  </si>
  <si>
    <t>65 gadi</t>
  </si>
  <si>
    <t>66 gadi</t>
  </si>
  <si>
    <t>67 gadi</t>
  </si>
  <si>
    <t>68 gadi</t>
  </si>
  <si>
    <t>69 gadi</t>
  </si>
  <si>
    <t>70 gadi</t>
  </si>
  <si>
    <t>71 gads</t>
  </si>
  <si>
    <t>72 gadi</t>
  </si>
  <si>
    <t>73 gadi</t>
  </si>
  <si>
    <t>74 gadi</t>
  </si>
  <si>
    <t>75 gadi</t>
  </si>
  <si>
    <t>Ārsts</t>
  </si>
  <si>
    <t>Māsa</t>
  </si>
  <si>
    <t>Palīgpersonāls</t>
  </si>
  <si>
    <t>Soc.nodoklis </t>
  </si>
  <si>
    <t>Mēneša darba samaksa</t>
  </si>
  <si>
    <t>1 minūtes vērtība darba samaksai</t>
  </si>
  <si>
    <t>Koordinators</t>
  </si>
  <si>
    <t>Slodze</t>
  </si>
  <si>
    <t>Alga mēnesī*</t>
  </si>
  <si>
    <t>Soc. nodoklis</t>
  </si>
  <si>
    <t>Alga ar soc. nodokli mēnesī</t>
  </si>
  <si>
    <t>Alga gadā</t>
  </si>
  <si>
    <t>Soc. nodoklis gadā</t>
  </si>
  <si>
    <t>Alga ar soc. nodokli gadā</t>
  </si>
  <si>
    <t>*koordinatoram tiek piemērota māsas alga</t>
  </si>
  <si>
    <t>Aprūpes epizodes</t>
  </si>
  <si>
    <t>Specialitāte</t>
  </si>
  <si>
    <t>Aprūpes epizodes tarifs</t>
  </si>
  <si>
    <t>Izmaksas</t>
  </si>
  <si>
    <t>Kardiologs</t>
  </si>
  <si>
    <t>**16 pacienti dienā, gadā 254 darba dienas</t>
  </si>
  <si>
    <t xml:space="preserve">Pieskaitāmās un netiešās ražošanas izmaksas </t>
  </si>
  <si>
    <t xml:space="preserve">Administratīvās izmaksas </t>
  </si>
  <si>
    <t xml:space="preserve">Pārējo pamatlīdzekļu amortizācija </t>
  </si>
  <si>
    <t>Koeficienti</t>
  </si>
  <si>
    <t>Mainīgās izmaksas</t>
  </si>
  <si>
    <t>Kopējās izmaksas, euro</t>
  </si>
  <si>
    <t>Pacienta līdzmaksājums, euro</t>
  </si>
  <si>
    <t>Darba laiks (minūtes)</t>
  </si>
  <si>
    <t>Darba samaksa D, euro</t>
  </si>
  <si>
    <t>Valsts sociālās apdrošināšanas obligātās iemaksas S, euro</t>
  </si>
  <si>
    <t>Ārstniecības līdzekļi M, euro</t>
  </si>
  <si>
    <t>Iekārtu amortizācija N, euro</t>
  </si>
  <si>
    <t>Pieskaitāmās un netiešās ražošanas izmaksas U, euro</t>
  </si>
  <si>
    <t>Administratīvās izmaksas A, euro</t>
  </si>
  <si>
    <t>Pārējo pamatlīdzekļu amortizācija n, euro</t>
  </si>
  <si>
    <t>ārstam</t>
  </si>
  <si>
    <t>māsai</t>
  </si>
  <si>
    <t>jaunākajam personālām</t>
  </si>
  <si>
    <t>jaunākajam personālam</t>
  </si>
  <si>
    <t>ārstam, māsai un jaunākajam personālām kopā</t>
  </si>
  <si>
    <t>M kopā</t>
  </si>
  <si>
    <t>Medikamenti</t>
  </si>
  <si>
    <t>Materiāli</t>
  </si>
  <si>
    <t>Veloergometrijas slodzes tests</t>
  </si>
  <si>
    <t>Ehokardiogrāfija ar doplerogrāfiju</t>
  </si>
  <si>
    <t>Stresehokardiogrāfija ar fizisku slodzi vai medicīniskām provēm. Nenorādīt kopā ar manipulācijām 06011, 06012 un 06021</t>
  </si>
  <si>
    <t>Skrīningehokardiogrāfija</t>
  </si>
  <si>
    <t>Transezofageāla ehokardiogrāfija M un B režīmos ar krāsas doplerogrāfiju, spektra analīzi un hemodinamikas rādītāju noteikšana</t>
  </si>
  <si>
    <t>Manipulācijas pašreizējais nosaukums</t>
  </si>
  <si>
    <t>Manipulācijas plānotais nosaukums</t>
  </si>
  <si>
    <t>Manipulācijas pašreizējais tarifs</t>
  </si>
  <si>
    <t>Manipulācijas pārrēķinātais tarifs**</t>
  </si>
  <si>
    <t>Plānotais pacientu skaits gadā</t>
  </si>
  <si>
    <t>Tarifa pieaugumam nepieciešamais finansējums</t>
  </si>
  <si>
    <t>Plānotie apmaksas nosacījumi*</t>
  </si>
  <si>
    <t>Finansējuma sadalījums pa apakšprogrammām</t>
  </si>
  <si>
    <t>Ambulatori</t>
  </si>
  <si>
    <t>Dienas stacionārā</t>
  </si>
  <si>
    <t>Stacionārā</t>
  </si>
  <si>
    <t>Bez izmaiņām</t>
  </si>
  <si>
    <t>* Pacientu skaits un sadalījums sadalījums atbilstoši  2024. gada statistikai</t>
  </si>
  <si>
    <t>** atbilstoši VSIA "Paula Stradiņa klīniskā universitātes slimnīca" iesniegumiem</t>
  </si>
  <si>
    <t>Tarifa pārrēķins</t>
  </si>
  <si>
    <t>Valsts sociālās adrošināšanas obligātās iemaksas S, euro</t>
  </si>
  <si>
    <t>D</t>
  </si>
  <si>
    <t>S</t>
  </si>
  <si>
    <t>M</t>
  </si>
  <si>
    <t>E</t>
  </si>
  <si>
    <t>U</t>
  </si>
  <si>
    <t>A</t>
  </si>
  <si>
    <t>N</t>
  </si>
  <si>
    <t>P</t>
  </si>
  <si>
    <t>Kopējās izmaksas</t>
  </si>
  <si>
    <t>Pacienta līdzmaksājums</t>
  </si>
  <si>
    <t>Tarifs</t>
  </si>
  <si>
    <t>07045</t>
  </si>
  <si>
    <t>Kardiopulmonālais slodžu tests</t>
  </si>
  <si>
    <t>Sadalījums ambulatori un stacionāri</t>
  </si>
  <si>
    <t>Manip. tarifs, EUR</t>
  </si>
  <si>
    <t>Aprēķinātais tarifs, EUR</t>
  </si>
  <si>
    <t>Papildus manip.tarifam nepieciešamais finansējums, EUR</t>
  </si>
  <si>
    <t>Plānotais pacientu skaits gadā*, **</t>
  </si>
  <si>
    <t>Pacientu sadalījums pa apakšprogrammām</t>
  </si>
  <si>
    <t>Apmaksas nosacījumi</t>
  </si>
  <si>
    <t>Kardiopulmonālais slodžu tests (līdzšinējie apmaksas nosacījumi)</t>
  </si>
  <si>
    <r>
      <t>Ambulatori samaksa par šo manipulāciju tiek veikta, ja to norāda  pneimonologi, bērnu pneimonologi, alergologi, bērnu alergologi, ģimenes ārsti</t>
    </r>
    <r>
      <rPr>
        <sz val="11"/>
        <color rgb="FFFF0000"/>
        <rFont val="Times New Roman"/>
        <family val="1"/>
        <charset val="186"/>
      </rPr>
      <t>.</t>
    </r>
  </si>
  <si>
    <t>Kardiopulmonālais slodžu tests (apmaksas nosacījumi no 2026. gada)</t>
  </si>
  <si>
    <r>
      <t>Ambulatori samaksa par šo manipulāciju tiek veikta, ja to norāda  pneimonologi, bērnu pneimonologi, alergologi, bērnu alergologi, ģimenes ārsti</t>
    </r>
    <r>
      <rPr>
        <sz val="11"/>
        <color rgb="FFFF0000"/>
        <rFont val="Times New Roman"/>
        <family val="1"/>
        <charset val="186"/>
      </rPr>
      <t>, kardiologi</t>
    </r>
    <r>
      <rPr>
        <sz val="11"/>
        <color theme="1"/>
        <rFont val="Times New Roman"/>
        <family val="1"/>
        <charset val="186"/>
      </rPr>
      <t>.</t>
    </r>
  </si>
  <si>
    <t>KOPĀ:</t>
  </si>
  <si>
    <t>* 2024. gada oficiālā statistika - 71 pacients. Finanšu ietekmi veido tarifa pieaugums.</t>
  </si>
  <si>
    <t>** Plānotais skaita pieaugums no apmaksas nosacījumu paplašināšanas - 250 pacienti (MVI sniegtā informācija). Finanšu ietekmi veido kardiologa pacientu skaita reizinājums ar pilnu tarifu.</t>
  </si>
  <si>
    <t>Pacienta līdzmaksājums, euro*</t>
  </si>
  <si>
    <t>JAUNS</t>
  </si>
  <si>
    <t>Neinvazīvā asinspiediena monitorēšana no 18 līdz 24 stundām</t>
  </si>
  <si>
    <t>*Atbilstoši MK Nr.555 13.pielikuma 7.2. punktam</t>
  </si>
  <si>
    <t>Provizoriskais pacientu skaits**</t>
  </si>
  <si>
    <t>** Latvijas Kardiologu biedrības sniegtā informācija</t>
  </si>
  <si>
    <t>Esošais manipulācijas tarifs, eiro</t>
  </si>
  <si>
    <t>Pārrēķinātais tarifs, eiro</t>
  </si>
  <si>
    <t>Starpība</t>
  </si>
  <si>
    <t>Pacientu skaits**</t>
  </si>
  <si>
    <t>Reižu skaits vienam pacientam**</t>
  </si>
  <si>
    <t>Reizes kopā</t>
  </si>
  <si>
    <t>Summa</t>
  </si>
  <si>
    <t>Pārrēķins</t>
  </si>
  <si>
    <t>Esošais tarifs</t>
  </si>
  <si>
    <t>Holtera monitorēšana no 18 līdz 24 stundām</t>
  </si>
  <si>
    <t>Jauns</t>
  </si>
  <si>
    <t>Jauna1</t>
  </si>
  <si>
    <t>Holtera monitorēšana no 18 līdz 24 stundām  (katras nākamās 24 stundas)</t>
  </si>
  <si>
    <t>-</t>
  </si>
  <si>
    <t>Elektrokardiogrammas ar 12 novadījumiem pieraksts</t>
  </si>
  <si>
    <t>Elektrokardiogrammas ar 12 novadījumiem apraksts</t>
  </si>
  <si>
    <t>Jauna2</t>
  </si>
  <si>
    <t>Ārsta-speciālista sniegta attālināta konsultācija ģimenes ārstam vai citas specialitātes ārstam-speciālistam (manipulāciju norāda ārsts-speciālists)</t>
  </si>
  <si>
    <t>*Sešu minūšu iešanas tests</t>
  </si>
  <si>
    <t>Kardiolga aprūpes epizode</t>
  </si>
  <si>
    <t>* MK 555 noteikumu 13. pielikums</t>
  </si>
  <si>
    <t>Kopā 5 kabinetiem</t>
  </si>
  <si>
    <t>** Latvijas Kardiologu biedrība</t>
  </si>
  <si>
    <t>Vienam kabinetam</t>
  </si>
  <si>
    <t>Elektroimpulsu plānveida terapija (defibrilācija)</t>
  </si>
  <si>
    <t>*Vienkameras elektrokardiostimulatora darbības pārbaude un programmēšana</t>
  </si>
  <si>
    <t>*Divkameru elektrokardiostimulatora darbības pārbaude un programmēšana</t>
  </si>
  <si>
    <t>*Vienkameras ventrikulārā ICD pārbaude un programmēšana</t>
  </si>
  <si>
    <t>*Divkameru (DDD) ICD pārbaude un programmēšana</t>
  </si>
  <si>
    <t>Jauna3</t>
  </si>
  <si>
    <t>Attālināta implantētas sirds ritma kontroles ierīces pārbaude</t>
  </si>
  <si>
    <t>Jauna4</t>
  </si>
  <si>
    <t>Implantētas sirds ritma diagnostikas un ārstēšanas ierīces attālinātas telemonitorēšanas iekārta</t>
  </si>
  <si>
    <t>Kardiologa aprūpes epizode</t>
  </si>
  <si>
    <t>Vidēji vienam kabinetam</t>
  </si>
  <si>
    <t>Reižu skaits vienam pacientam</t>
  </si>
  <si>
    <t>Brahiocefālo asinsvadu dupleksskenēšana ar krāsas doplerogrāfiju un spektra analīzi</t>
  </si>
  <si>
    <t>Neirologa aprūpes epizode</t>
  </si>
  <si>
    <t>06068</t>
  </si>
  <si>
    <t>06132</t>
  </si>
  <si>
    <t>06133</t>
  </si>
  <si>
    <t>06134</t>
  </si>
  <si>
    <t>06135</t>
  </si>
  <si>
    <t>2026.gads un turpmāk ik gadu</t>
  </si>
  <si>
    <t xml:space="preserve">33.03.00 Kompensējamo medikamentu un materiālu apmaksāšana  </t>
  </si>
  <si>
    <t xml:space="preserve">Esošais finansējums </t>
  </si>
  <si>
    <t>Lietošanas ilgums</t>
  </si>
  <si>
    <t>Kompensācijas apmērs</t>
  </si>
  <si>
    <t>Terapijas izmaksas</t>
  </si>
  <si>
    <t>2.3.1.1.</t>
  </si>
  <si>
    <t>Nepieciešams kompensēt antikoagulantus pacientiem pēc revaskularizācijas 3 mēnešus komplikāciju novēršanai</t>
  </si>
  <si>
    <t>3 mēneši</t>
  </si>
  <si>
    <t>2.3.1.2.</t>
  </si>
  <si>
    <t>Nepieciešams kompensēt antikoagulantus pacientiem ar DzVT (dziļo vēnu tromboze) 3-6 mēnešus komplikāciju novēršanai</t>
  </si>
  <si>
    <t>3-6 mēneši</t>
  </si>
  <si>
    <t>2.3.1.3.</t>
  </si>
  <si>
    <t>12 mēneši</t>
  </si>
  <si>
    <t>Palielināt kardiovaskulāro pacientu līdzestību medikamentu lietošanā 100%*</t>
  </si>
  <si>
    <t xml:space="preserve">Veselības aprūpes pakalpojumu norēķinu sistēmas "Vadības informācijas sistēma" unikālo pacientu skaits, kas saņēmuši kardioloģisko medikamentu 2024.gadā kompensējamo zāļu sistēmas ietvaros ar 75% kompensāciju </t>
  </si>
  <si>
    <t xml:space="preserve">04.07.2025 Latvijas Endokrinologu asociācijas iesūtītais priekšlikums.  </t>
  </si>
  <si>
    <t>Uzlabot glikozes līmeņa monitorēšanu I tipa cukura diabēta pacientiem ar smagām un/ vai biežām hipoglikēmijām, labilu diabēta gaitu, nopietnām diabēta vēlīnām komplikācijām</t>
  </si>
  <si>
    <t>* Medikamentu kompensācijas apmēra palielināšana no 75% uz 100%</t>
  </si>
  <si>
    <t>Prognozējamais pacientu skaits</t>
  </si>
  <si>
    <t>Vidējās izmaksas
 uz 1 pacientu, EUR</t>
  </si>
  <si>
    <t>Prognozētais nepieciešamais
finansējums gadā, EUR</t>
  </si>
  <si>
    <t>75.97</t>
  </si>
  <si>
    <t>101.29</t>
  </si>
  <si>
    <t>Starpība (deficīts)</t>
  </si>
  <si>
    <t>Cukura diabēta acu komplikāciju savlaicīga atklāšana un ārstēšana</t>
  </si>
  <si>
    <t>1. Papildus nepieciešamais finansējums:</t>
  </si>
  <si>
    <t>10 = 11 + 12</t>
  </si>
  <si>
    <t>17294</t>
  </si>
  <si>
    <t>Intravitreāla injekcija vienai acij</t>
  </si>
  <si>
    <t>04110</t>
  </si>
  <si>
    <t>Acs virsmas anestēzija pirms intravitreālas injekcijas</t>
  </si>
  <si>
    <t>Manipulācijas nosaukums*</t>
  </si>
  <si>
    <t>Autorefraktometrija abām acīm</t>
  </si>
  <si>
    <t>Redzes asuma noteikšana tuvumā vai tālumā abām acīm</t>
  </si>
  <si>
    <t>Tonometrija abām acīm</t>
  </si>
  <si>
    <t>Acs biomikroskopija abām acīm</t>
  </si>
  <si>
    <t>Netiešā oftalmoskopija abām acīm</t>
  </si>
  <si>
    <t>Optiskā koherentā tomogrāfija vienai acij</t>
  </si>
  <si>
    <t>Pacienta ārstēšanās dienas stacionārā, saņemot invazīvās kardioloģijas, invazīvās radioloģijas un ķirurģijas pakalpojumus</t>
  </si>
  <si>
    <t>Kopā pakalpojuma veikšanai:</t>
  </si>
  <si>
    <t>Medikamentu izmaksas:</t>
  </si>
  <si>
    <t>Kopējās izmaksas:</t>
  </si>
  <si>
    <t>**Kopējais pacienta ārstēšanas ilgums ir 3 gadi, pacientam piermajā ārstēšanas gadā nepieciešamas 8 injekcijas un turpmākos  2 gadus 4 injekcijas, kas noteiktas klīniskajās vadlīnijās par terapijas efektīvu nodrošināšanu.</t>
  </si>
  <si>
    <t>apakšprogramma 33.16.00 Pārējo ambulatoro veselības aprūpes pakalpojumu nodrošināšana</t>
  </si>
  <si>
    <t>Ārstēšanas ilgums 3 gadi</t>
  </si>
  <si>
    <t>Reižu skaits</t>
  </si>
  <si>
    <t>1.injekciju gadā</t>
  </si>
  <si>
    <t>2.injekciju gadā</t>
  </si>
  <si>
    <t>3.injekciju gadā</t>
  </si>
  <si>
    <t>Esošais pacientu skaits</t>
  </si>
  <si>
    <t>Esošais finansējums, eiro</t>
  </si>
  <si>
    <t>Papildu pacientu skaits</t>
  </si>
  <si>
    <t>Papildu nepieciešamais finansējums, eiro</t>
  </si>
  <si>
    <t>Kopā pacientu skaits</t>
  </si>
  <si>
    <t>Skaidrojums par nepieciešamo medikamentu injekciju skaitu papildu pacientu skaita apjomam</t>
  </si>
  <si>
    <t>100 pacienti 8xinjicē medikamentu</t>
  </si>
  <si>
    <t>50 pacienti 8x injicē medikamentu, 100 pacientiem 4xinjicē medikamentu</t>
  </si>
  <si>
    <t>50 pacienti 8x injicē medikamentu, 150 pacientiem 4xinjicē medikamentu</t>
  </si>
  <si>
    <t>Kopējais devu skaits gadā</t>
  </si>
  <si>
    <t>800 devas</t>
  </si>
  <si>
    <t>1000 devas</t>
  </si>
  <si>
    <t>Papildus nepieciešamais finansējums medikamentam</t>
  </si>
  <si>
    <t>Pacientu skaits 1.gadā</t>
  </si>
  <si>
    <t>Pacientu skaits 2.gadā (50 jaunie un tie kas turpina no iepriekšējā gada)</t>
  </si>
  <si>
    <t>Pacientu skaits 3.gadā (50 jaunie un tie kas turpina no iepriekšējā gada)</t>
  </si>
  <si>
    <t>Vidējās izmaksas vienam pacientam pirmajā gadā, euro***</t>
  </si>
  <si>
    <t>Vidējās izmaksas vienam pacientam otrajā gadā, euro ***</t>
  </si>
  <si>
    <t>Vidējās izmaksas vienam pacientam trešajā gadā, euro ***</t>
  </si>
  <si>
    <t>Kopējās medikamentu izmaksas 2026. gadā:</t>
  </si>
  <si>
    <t>Kopējās medikamentu izmaksas 2027. gadā:</t>
  </si>
  <si>
    <t>Kopējās medikamentu izmaksas 2028. gadā:</t>
  </si>
  <si>
    <t>*** Viena pacienta izmaksas pa gadiem ir atšķirīgas, jo 2. un 3. gadā ir atšķirīgas pirmreizējo pacientu un to pacientu proporcija, kas turpina terapiju.</t>
  </si>
  <si>
    <t>33.16.00 Pārējo ambulatoro veselības aprūpes pakalpojumu nodrošināšana*</t>
  </si>
  <si>
    <t>* nefroloģijas kopējais ambulatorais budžets 2025. gada sākumā</t>
  </si>
  <si>
    <r>
      <t>Cena</t>
    </r>
    <r>
      <rPr>
        <vertAlign val="superscript"/>
        <sz val="11"/>
        <color theme="1"/>
        <rFont val="Times New Roman"/>
        <family val="1"/>
        <charset val="186"/>
      </rPr>
      <t>1</t>
    </r>
  </si>
  <si>
    <t>Vienam pacientam plānotās aprūpes epizodes gadā</t>
  </si>
  <si>
    <r>
      <t>Pacientu skaits</t>
    </r>
    <r>
      <rPr>
        <vertAlign val="superscript"/>
        <sz val="11"/>
        <color theme="1"/>
        <rFont val="Times New Roman"/>
        <family val="1"/>
        <charset val="186"/>
      </rPr>
      <t>2</t>
    </r>
  </si>
  <si>
    <t>Nefrologa aprūpes epizode</t>
  </si>
  <si>
    <r>
      <rPr>
        <vertAlign val="superscript"/>
        <sz val="11"/>
        <color theme="1"/>
        <rFont val="Times New Roman"/>
        <family val="1"/>
        <charset val="186"/>
      </rPr>
      <t>1</t>
    </r>
    <r>
      <rPr>
        <sz val="11"/>
        <color theme="1"/>
        <rFont val="Times New Roman"/>
        <family val="1"/>
        <charset val="186"/>
      </rPr>
      <t xml:space="preserve"> Ministru kabineta noteikumi Nr. 555 4. pielikumā "Aprūpes epizodes un to tarifi".</t>
    </r>
  </si>
  <si>
    <r>
      <rPr>
        <vertAlign val="superscript"/>
        <sz val="11"/>
        <color theme="1"/>
        <rFont val="Times New Roman"/>
        <family val="1"/>
        <charset val="186"/>
      </rPr>
      <t>2</t>
    </r>
    <r>
      <rPr>
        <sz val="11"/>
        <color theme="1"/>
        <rFont val="Times New Roman"/>
        <family val="1"/>
        <charset val="186"/>
      </rPr>
      <t xml:space="preserve"> Pēc Latvijas Nefrologu Asociācijas: katram 10. no skrīnētajiem pacientiem būs nepieciešama nefrologa konsultācija.</t>
    </r>
  </si>
  <si>
    <r>
      <t>Pacienta līdmaksājums, eiro</t>
    </r>
    <r>
      <rPr>
        <vertAlign val="superscript"/>
        <sz val="11"/>
        <color rgb="FF000000"/>
        <rFont val="Times New Roman"/>
        <family val="1"/>
        <charset val="186"/>
      </rPr>
      <t>3</t>
    </r>
  </si>
  <si>
    <r>
      <t>Plānotais manipulāciju skaits vienam pacientam gadā</t>
    </r>
    <r>
      <rPr>
        <vertAlign val="superscript"/>
        <sz val="11"/>
        <color rgb="FF000000"/>
        <rFont val="Times New Roman"/>
        <family val="1"/>
        <charset val="186"/>
      </rPr>
      <t>4</t>
    </r>
  </si>
  <si>
    <t>Provizoriskais pacientu skaits</t>
  </si>
  <si>
    <r>
      <t>Ambulatori</t>
    </r>
    <r>
      <rPr>
        <vertAlign val="superscript"/>
        <sz val="11"/>
        <color rgb="FF000000"/>
        <rFont val="Times New Roman"/>
        <family val="1"/>
        <charset val="186"/>
      </rPr>
      <t>5</t>
    </r>
  </si>
  <si>
    <t>E10-E14</t>
  </si>
  <si>
    <t>I10-I15</t>
  </si>
  <si>
    <t>Kreatinīns</t>
  </si>
  <si>
    <t>Mikroalbuminūrija</t>
  </si>
  <si>
    <t>Urīna sedimenta standartizēta mikroskopija</t>
  </si>
  <si>
    <t>Asins ņemšana ar slēgtu sistēmu vienā stobriņā</t>
  </si>
  <si>
    <t>Uropoētiskās sistēmas ultrasonogrāfija</t>
  </si>
  <si>
    <r>
      <rPr>
        <vertAlign val="superscript"/>
        <sz val="11"/>
        <color theme="1"/>
        <rFont val="Times New Roman"/>
        <family val="1"/>
        <charset val="186"/>
      </rPr>
      <t>3</t>
    </r>
    <r>
      <rPr>
        <sz val="11"/>
        <color theme="1"/>
        <rFont val="Times New Roman"/>
        <family val="1"/>
        <charset val="186"/>
      </rPr>
      <t xml:space="preserve"> Ministru kabineta noteikumi Nr. 555 13. pielikumā "Pacienta līdzmaksājuma apmērs".</t>
    </r>
  </si>
  <si>
    <r>
      <rPr>
        <vertAlign val="superscript"/>
        <sz val="11"/>
        <color theme="1"/>
        <rFont val="Times New Roman"/>
        <family val="1"/>
        <charset val="186"/>
      </rPr>
      <t>4</t>
    </r>
    <r>
      <rPr>
        <sz val="11"/>
        <color theme="1"/>
        <rFont val="Times New Roman"/>
        <family val="1"/>
        <charset val="186"/>
      </rPr>
      <t xml:space="preserve"> Latvijas Nefrologu Asociācija: daļai analīzes būs jāveic atkārtoti. Aprēķinā paredzēts, ka pusei pacientu būs jāveic atkārtoti.</t>
    </r>
  </si>
  <si>
    <r>
      <rPr>
        <vertAlign val="superscript"/>
        <sz val="11"/>
        <color theme="1"/>
        <rFont val="Times New Roman"/>
        <family val="1"/>
        <charset val="186"/>
      </rPr>
      <t>5</t>
    </r>
    <r>
      <rPr>
        <sz val="11"/>
        <color theme="1"/>
        <rFont val="Times New Roman"/>
        <family val="1"/>
        <charset val="186"/>
      </rPr>
      <t xml:space="preserve"> Pacientu skaits samazinās, ja pacients jau ir veicis konkrēto analīzi pēdējā gada laikā. Konkrētās diagnozes saskaņotas ar Latvijas Nefrologu Asociāciju un Latvijas Nieru un Multiorgānu Aizstājterapijas asociāciju.</t>
    </r>
  </si>
  <si>
    <r>
      <rPr>
        <vertAlign val="superscript"/>
        <sz val="11"/>
        <color theme="1"/>
        <rFont val="Times New Roman"/>
        <family val="1"/>
        <charset val="186"/>
      </rPr>
      <t>6</t>
    </r>
    <r>
      <rPr>
        <sz val="11"/>
        <color theme="1"/>
        <rFont val="Times New Roman"/>
        <family val="1"/>
        <charset val="186"/>
      </rPr>
      <t xml:space="preserve"> Izvērtējot citu no valsts budžeta līdzekļiem apmaksātāto skrīningu atsaucības rādītājus.</t>
    </r>
  </si>
  <si>
    <t>Diagnozes</t>
  </si>
  <si>
    <t>Manipulācijas</t>
  </si>
  <si>
    <r>
      <t>Pacientu skaits gadā</t>
    </r>
    <r>
      <rPr>
        <b/>
        <vertAlign val="superscript"/>
        <sz val="11"/>
        <color theme="1"/>
        <rFont val="Times New Roman"/>
        <family val="1"/>
        <charset val="186"/>
      </rPr>
      <t>7</t>
    </r>
  </si>
  <si>
    <r>
      <t>Pacientu skaits</t>
    </r>
    <r>
      <rPr>
        <vertAlign val="superscript"/>
        <sz val="11"/>
        <color theme="1"/>
        <rFont val="Times New Roman"/>
        <family val="1"/>
        <charset val="186"/>
      </rPr>
      <t>8</t>
    </r>
  </si>
  <si>
    <t>E10 - E14</t>
  </si>
  <si>
    <t>I10 - I15</t>
  </si>
  <si>
    <r>
      <rPr>
        <vertAlign val="superscript"/>
        <sz val="11"/>
        <color theme="1"/>
        <rFont val="Times New Roman"/>
        <family val="1"/>
        <charset val="186"/>
      </rPr>
      <t>8</t>
    </r>
    <r>
      <rPr>
        <sz val="11"/>
        <color theme="1"/>
        <rFont val="Times New Roman"/>
        <family val="1"/>
        <charset val="186"/>
      </rPr>
      <t xml:space="preserve"> Pacientu skaits diagnozēm E10-E14 no Cukura diabēta pacientu reģistra, pacientu skaits diagnozēm I10-E15 no 2024. gadā veiktā  datu atlasījuma</t>
    </r>
  </si>
  <si>
    <r>
      <rPr>
        <vertAlign val="superscript"/>
        <sz val="11"/>
        <color theme="1"/>
        <rFont val="Times New Roman"/>
        <family val="1"/>
        <charset val="186"/>
      </rPr>
      <t>7</t>
    </r>
    <r>
      <rPr>
        <sz val="11"/>
        <color theme="1"/>
        <rFont val="Times New Roman"/>
        <family val="1"/>
        <charset val="186"/>
      </rPr>
      <t xml:space="preserve"> Datu atlasījumā par periodu 2023. gada septembris - 2024. gada augusts</t>
    </r>
  </si>
  <si>
    <t>1.tabula Manipulāciju pārrēķins</t>
  </si>
  <si>
    <t>Jaunais</t>
  </si>
  <si>
    <t>06061</t>
  </si>
  <si>
    <r>
      <t xml:space="preserve">Intrakardiāla elektrofizioloģiska izmeklēšana aritmiju diagnostikai </t>
    </r>
    <r>
      <rPr>
        <sz val="11"/>
        <color rgb="FFFF0000"/>
        <rFont val="Times New Roman"/>
        <family val="1"/>
        <charset val="186"/>
      </rPr>
      <t>un ārstēšanai</t>
    </r>
  </si>
  <si>
    <t>Esošais</t>
  </si>
  <si>
    <t>Intrakardiāla elektrofizioloģiska izmeklēšana aritmiju diagnostikai</t>
  </si>
  <si>
    <t>06062</t>
  </si>
  <si>
    <r>
      <rPr>
        <strike/>
        <sz val="10"/>
        <rFont val="Times New Roman"/>
        <family val="1"/>
        <charset val="186"/>
      </rPr>
      <t>Radiofrekventā katetra ablācija ar trīsdimensiju potenciālu reģistrācijas lietošanu</t>
    </r>
    <r>
      <rPr>
        <sz val="10"/>
        <color rgb="FFFF0000"/>
        <rFont val="Times New Roman"/>
        <family val="1"/>
        <charset val="186"/>
      </rPr>
      <t xml:space="preserve"> Aritmiju endo/epikardiāla ablācija, pielietojot sirds kartēšanas sistēmu</t>
    </r>
  </si>
  <si>
    <t>Radiofrekventā katetra ablācija ar trīsdimensiju potenciālu reģistrācijas lietošanu</t>
  </si>
  <si>
    <t>06063</t>
  </si>
  <si>
    <r>
      <t>Piemaksa par a</t>
    </r>
    <r>
      <rPr>
        <sz val="11"/>
        <color rgb="FFFF0000"/>
        <rFont val="Times New Roman"/>
        <family val="1"/>
        <charset val="186"/>
      </rPr>
      <t>blācijas katetru sirds aritmiju ārstēšanai</t>
    </r>
    <r>
      <rPr>
        <sz val="11"/>
        <rFont val="Times New Roman"/>
        <family val="1"/>
        <charset val="186"/>
      </rPr>
      <t xml:space="preserve">
</t>
    </r>
  </si>
  <si>
    <t>Piemaksa par elektroda endokardiālai izmeklēšanai un katetra ablācijai lietošanu</t>
  </si>
  <si>
    <t>06065</t>
  </si>
  <si>
    <r>
      <t>Piemaksa pie manipulācij</t>
    </r>
    <r>
      <rPr>
        <strike/>
        <sz val="10"/>
        <color theme="1"/>
        <rFont val="Times New Roman"/>
        <family val="1"/>
        <charset val="186"/>
      </rPr>
      <t>ām</t>
    </r>
    <r>
      <rPr>
        <sz val="10"/>
        <color rgb="FFFF0000"/>
        <rFont val="Times New Roman"/>
        <family val="1"/>
        <charset val="186"/>
      </rPr>
      <t>as</t>
    </r>
    <r>
      <rPr>
        <sz val="10"/>
        <color theme="1"/>
        <rFont val="Times New Roman"/>
        <family val="1"/>
        <charset val="186"/>
      </rPr>
      <t xml:space="preserve"> 06061</t>
    </r>
    <r>
      <rPr>
        <strike/>
        <sz val="10"/>
        <color theme="1"/>
        <rFont val="Times New Roman"/>
        <family val="1"/>
        <charset val="186"/>
      </rPr>
      <t>, 06062</t>
    </r>
    <r>
      <rPr>
        <sz val="10"/>
        <color theme="1"/>
        <rFont val="Times New Roman"/>
        <family val="1"/>
        <charset val="186"/>
      </rPr>
      <t xml:space="preserve"> par </t>
    </r>
    <r>
      <rPr>
        <strike/>
        <sz val="10"/>
        <color theme="1"/>
        <rFont val="Times New Roman"/>
        <family val="1"/>
        <charset val="186"/>
      </rPr>
      <t>elektrodu endokardiālai</t>
    </r>
    <r>
      <rPr>
        <sz val="10"/>
        <color theme="1"/>
        <rFont val="Times New Roman"/>
        <family val="1"/>
        <charset val="186"/>
      </rPr>
      <t xml:space="preserve"> </t>
    </r>
    <r>
      <rPr>
        <sz val="10"/>
        <color rgb="FFFF0000"/>
        <rFont val="Times New Roman"/>
        <family val="1"/>
        <charset val="186"/>
      </rPr>
      <t>katetriem intrakardiālai</t>
    </r>
    <r>
      <rPr>
        <sz val="10"/>
        <color theme="1"/>
        <rFont val="Times New Roman"/>
        <family val="1"/>
        <charset val="186"/>
      </rPr>
      <t xml:space="preserve"> </t>
    </r>
    <r>
      <rPr>
        <sz val="10"/>
        <color rgb="FFFF0000"/>
        <rFont val="Times New Roman"/>
        <family val="1"/>
        <charset val="186"/>
      </rPr>
      <t>elektrofizioloģiskai</t>
    </r>
    <r>
      <rPr>
        <sz val="10"/>
        <color theme="1"/>
        <rFont val="Times New Roman"/>
        <family val="1"/>
        <charset val="186"/>
      </rPr>
      <t xml:space="preserve"> izmeklēšanai</t>
    </r>
  </si>
  <si>
    <t>Piemaksa pie manipulācijām 06061, 06062 par elektrodu endokardiālai izmeklēšanai</t>
  </si>
  <si>
    <t>*RAKUS 2024.g. veic 19,17% no PSKUS apjoma</t>
  </si>
  <si>
    <t>20% plānojam no stacionarā apjoma visam izņemot 06062 (to neplānojam DS vispār) un 06068, kam plāno vismaz 700</t>
  </si>
  <si>
    <t>Veikto manipulāciju skaits 2024.gadā</t>
  </si>
  <si>
    <t>Plānotais pacientu skaits</t>
  </si>
  <si>
    <t>Jaunais iesniegtais nosaukums</t>
  </si>
  <si>
    <t>2027.g. aritmoloģijas kopējais apjoms</t>
  </si>
  <si>
    <t>Dienas stacionārā 2027. gadā</t>
  </si>
  <si>
    <t>Stacionārā 2027.gadā</t>
  </si>
  <si>
    <t>1 112</t>
  </si>
  <si>
    <t>1 085</t>
  </si>
  <si>
    <t>1 103</t>
  </si>
  <si>
    <t>Elektroimpulsu plānveida terapija - defibrilācija</t>
  </si>
  <si>
    <t>1 879</t>
  </si>
  <si>
    <t>RAKUS  88 pacienti</t>
  </si>
  <si>
    <t>06051</t>
  </si>
  <si>
    <t>Transezofageāla elektrofizioloģiska izmeklēšana aritmiju diagnostikai</t>
  </si>
  <si>
    <t>06052</t>
  </si>
  <si>
    <t>Transezofageāla elektrokardiostimulācija aritmijas terapijai</t>
  </si>
  <si>
    <t>Vienkameru elektrokardiostimulatora darbības pārbaude un programmēšana</t>
  </si>
  <si>
    <t>RAKUS  15 pacienti</t>
  </si>
  <si>
    <t>Divkameru elektrokardiostimulatora darbības pārbaude un programmēšana</t>
  </si>
  <si>
    <t>2 292</t>
  </si>
  <si>
    <t>RAKUS  55 pacienti</t>
  </si>
  <si>
    <t>Vienkameru ventrikulārā ICD pārbaude un programmēšana</t>
  </si>
  <si>
    <t>RAKUS  2 pacienti</t>
  </si>
  <si>
    <t>Divkameru (DDD) ICD pārbaude un programmēšana</t>
  </si>
  <si>
    <t>RAKUS  12 pacienti</t>
  </si>
  <si>
    <t>06138</t>
  </si>
  <si>
    <t>Endokardiālā elektroda maiņa</t>
  </si>
  <si>
    <t>06139</t>
  </si>
  <si>
    <t>Elektrokardiostimulatora ložas maiņa</t>
  </si>
  <si>
    <t>06140</t>
  </si>
  <si>
    <t>Elektrokardiostimulatora ekstirpācija</t>
  </si>
  <si>
    <t>RAKUS  5 pacienti</t>
  </si>
  <si>
    <t>06150</t>
  </si>
  <si>
    <t>Elektrokardiostimulatora miokardiālā implantācija</t>
  </si>
  <si>
    <t>60075</t>
  </si>
  <si>
    <t>60010</t>
  </si>
  <si>
    <t>Pacienta ārstēšanās dienas stacionārā, izņemot nieru aizstājterapijas, invazīvās kardioloģijas, invazīvās radioloģijas un ķirurģijas un psihiatrijas pakalpojumus (par katru dienu)</t>
  </si>
  <si>
    <t>* Pacientu skaits atbilstoši 2023. gada oficiālajiem statistikas datiem</t>
  </si>
  <si>
    <t>Country</t>
  </si>
  <si>
    <t>DRG code</t>
  </si>
  <si>
    <t>Procedure name</t>
  </si>
  <si>
    <t>Reimb amount, Eur</t>
  </si>
  <si>
    <t>Additional coverage for devices, Eur</t>
  </si>
  <si>
    <t>Total</t>
  </si>
  <si>
    <t>Name of additionally covered devices</t>
  </si>
  <si>
    <t>Poland</t>
  </si>
  <si>
    <r>
      <t>(E43, E46; E47 )</t>
    </r>
    <r>
      <rPr>
        <sz val="11"/>
        <color rgb="FF000000"/>
        <rFont val="Calibri"/>
        <family val="2"/>
      </rPr>
      <t xml:space="preserve">  E48 including 9380 AF</t>
    </r>
  </si>
  <si>
    <t>Atrial fibrillation ablation - isolation of pulmonary veins</t>
  </si>
  <si>
    <t>Estonia</t>
  </si>
  <si>
    <t>112B</t>
  </si>
  <si>
    <t>Percutaneous ablation for cardiac arrhythmia</t>
  </si>
  <si>
    <t>955*</t>
  </si>
  <si>
    <t>DRG 7658 - 3D mapping of the heart</t>
  </si>
  <si>
    <t>Lithuania</t>
  </si>
  <si>
    <t>F42</t>
  </si>
  <si>
    <t>Diseases of the circulatory system in the absence of acute myocardial infarction and invasive cardiac procedures - when the condition is complicated</t>
  </si>
  <si>
    <t>5539*</t>
  </si>
  <si>
    <t>Radiofrequency and/or microwave ablation with three-dimensional intracardiac mapping or thoracoscope-guided minimally invasive therapy</t>
  </si>
  <si>
    <t>Latvia</t>
  </si>
  <si>
    <t>Perkutāna ablācija sirds aritmijas dēļ</t>
  </si>
  <si>
    <t>*3D mapping of the heart</t>
  </si>
  <si>
    <t>sarežģītā</t>
  </si>
  <si>
    <t>The source for the data:</t>
  </si>
  <si>
    <t>vienkāršā</t>
  </si>
  <si>
    <t>LITHUANIA:</t>
  </si>
  <si>
    <t>ESTONIA:</t>
  </si>
  <si>
    <t>POLAND:</t>
  </si>
  <si>
    <t>DRG list can be found here: https://baw.nfz.gov.pl/NFZ/document/43180/Zarzadzenie-23_2024_DSOZ</t>
  </si>
  <si>
    <t>LATVIA:</t>
  </si>
  <si>
    <t>DRG list can be found here: https://www.vmnvd.gov.lv/lv/drg-grupas-un-raditaji-maksajuma-aprekinam</t>
  </si>
  <si>
    <t>Rīgas Austrumu klīniskā universitātes slimnīca</t>
  </si>
  <si>
    <t>Paula Stradiņa klīniskā universitātes slimnīca</t>
  </si>
  <si>
    <t>Nieru artērijas denervācija pacientiem ar rezistentu arteriālo hipertensiju</t>
  </si>
  <si>
    <t>Piemaksa par renālās denervācijas daudzsegmentu neokluzīvu spirālveida katetru pacientiem ar rezistentu arteriālo hipertensiju</t>
  </si>
  <si>
    <t>Provizoriskais pacientu skaits 2027. gadā*</t>
  </si>
  <si>
    <t>Iestādes definējušas apjomus: 2026.g. Paula Stradiņa universitātes slimnīca - 15, Rīgas Austrumu klīniskā universitātes slimnīca -10, 2027.g. Paula Stradiņa universitātes slimnīca - 20, Rīgas Austrumu klīniskā universitātes slimnīca -15</t>
  </si>
  <si>
    <t>Pakalpojumu programmas nosaukums</t>
  </si>
  <si>
    <t>Plānotais pacientu skaits 2025.gadā</t>
  </si>
  <si>
    <t>Līguma summa 2025.
gadam</t>
  </si>
  <si>
    <t>Līgums uz periodu 2025.gada janvāris-
maijs</t>
  </si>
  <si>
    <t>Veiktais darbs uz periodu 2025.gada janvāris-
maijs</t>
  </si>
  <si>
    <t>Pārstrāde (+)/
neizpilde (-)</t>
  </si>
  <si>
    <t>Prognozētā pārstrāde/
neizpilde 2025.gada 12M</t>
  </si>
  <si>
    <t>Faktiskais pacientu skaits 2025.gada 5M</t>
  </si>
  <si>
    <t>Invazīvā kardioloģija dienas stacionārā (Koronārā angioplastija un Koronarogrāfija)</t>
  </si>
  <si>
    <t>Ārstniecības iestādes nosaukums</t>
  </si>
  <si>
    <t>Līguma summa 2025.gadam</t>
  </si>
  <si>
    <t>Viena izmeklējuma vidējā plānotā izmaksa 2025.gadam VALSTĪ, EUR</t>
  </si>
  <si>
    <t>Gaidīšanas rindā esošo pacientu skaits uz 01.04.2025</t>
  </si>
  <si>
    <t>Daugavpils reģionālā slimnīca, Sabiedrība ar ierobežotu atbildību</t>
  </si>
  <si>
    <t>Invazīvā kardioloģija dienas stacionārā</t>
  </si>
  <si>
    <t>LIEPĀJAS REĢIONĀLĀ SLIMNĪCA, Sabiedrība ar ierobežotu atbildību</t>
  </si>
  <si>
    <t>Paula Stradiņa klīniskā universitātes slimnīca, Valsts sabiedrība ar ierobežotu atbildību</t>
  </si>
  <si>
    <t>Rīgas 1. slimnīca, Sabiedrība ar ierobežotu atbildību</t>
  </si>
  <si>
    <t>Rīgas Austrumu klīniskā universitātes slimnīca, Sabiedrība ar ierobežotu atbildību</t>
  </si>
  <si>
    <t>33.17.00. Neatliekamās medicīniskās palīdzības nodrošināšana stacionārās ārstniecības iestādēs</t>
  </si>
  <si>
    <t>Ārstniecības iestāde</t>
  </si>
  <si>
    <t>Pakalpojuma programma</t>
  </si>
  <si>
    <t>2024. gada 12M izpildes</t>
  </si>
  <si>
    <t>Pacientu skaits kopā</t>
  </si>
  <si>
    <t>Finansējums, EUR</t>
  </si>
  <si>
    <t>N, EUR</t>
  </si>
  <si>
    <t>P, EUR</t>
  </si>
  <si>
    <t>DRG fiksētais maksājums- plānveida pakalpojumi (Plānveida īslaicīgā ķirurģija. Invazīvā kardioloģija, Plānveida koronārā angiogrāfija, Plānveida perkutāna koronārā intervence ar angioplastiju, Plānveida perkutāna koronārā intervence ar stentu sistēmas implantāciju, Plānveida perkutāna koronārā intervence ar stentu sistēmas implantāciju, izmantojot papildus revaskularizācijas ierīces)</t>
  </si>
  <si>
    <t>DRG fiksētais maksājums- plānveida pakalpojumi (Plānveida koronārā angiogrāfija, Plānveida perkutāna koronārā intervence ar angioplastiju	, Plānveida perkutāna koronārā intervence ar stentu sistēmas implantāciju, Plānveida perkutāna koronārā intervence ar stentu sistēmas implantāciju, izmantojot papildus revaskularizācijas ierīces)</t>
  </si>
  <si>
    <t>Liepājas reģionālā slimnīca</t>
  </si>
  <si>
    <t>Daugavpils reģionālā slimnīca</t>
  </si>
  <si>
    <t>2024.g. Līgumā esošo pacientu skaits DRG fiksētais maksājums- plānveida pakalpojumi (Plānveida īslaicīgā ķirurģija. Invazīvā kardioloģija)</t>
  </si>
  <si>
    <t>Plānveida koronārā angiogrāfija</t>
  </si>
  <si>
    <t>Plānveida perkutāna koronārā intervence ar angioplastiju</t>
  </si>
  <si>
    <t>Plānveida perkutāna koronārā intervence ar stentu sistēmas implantāciju</t>
  </si>
  <si>
    <t>Plānveida perkutāna koronārā intervence ar stentu sistēmas implantāciju, izmantojot papildus revaskularizācijas ierīces</t>
  </si>
  <si>
    <t>Pacientu skaita plānotais pieaugums</t>
  </si>
  <si>
    <t>Tarifs, EUR 2025*</t>
  </si>
  <si>
    <t>Summa EUR</t>
  </si>
  <si>
    <t xml:space="preserve">Pacientu skaita pieaugums***, % </t>
  </si>
  <si>
    <t>*Atšķirību PSKUS un RAKUS tarifos veido bāzes tarifs un CMI (ārstniecības iestādes veiktā darba (sarežģītības) indekss)</t>
  </si>
  <si>
    <t>**(ne vairāk kā 30% no plānotā pacientu skaita līgumā)</t>
  </si>
  <si>
    <t>Transkatetrālā vārstuļa (pulmonālā, trikuspidālā, mitrālā) intervence ar implantu *</t>
  </si>
  <si>
    <t>06204</t>
  </si>
  <si>
    <t>Transkatetrālā aortas vārstuļa implantācija (iekļauti anesteziologa pakalpojumi)</t>
  </si>
  <si>
    <t>Programmas nosaukums</t>
  </si>
  <si>
    <t>Vidējās izmaksas uz vienu pacientu, EUR</t>
  </si>
  <si>
    <t>Pacienta līdzmaksājums, EUR</t>
  </si>
  <si>
    <t>Esošais pacientu skaits stacionārā 2024. gadā</t>
  </si>
  <si>
    <t>Plānotais pacientu skaits 2027. gadā</t>
  </si>
  <si>
    <t>Papildus nepieciešamais finansējums 2027. gadā, eiro</t>
  </si>
  <si>
    <t>Finansējuma sadalījums pa apakšprogrammām 2027. gadā, EUR</t>
  </si>
  <si>
    <t>Aortālā vārstuļa transkatetrāla implantācija (TAVI)</t>
  </si>
  <si>
    <t>Manipulācijai 06204 Latvijas Kardiologu biedrība plāno 200 pacientus 2026. gadā un 250 pacientus 2027. gadā.</t>
  </si>
  <si>
    <t>Jauna, tarifs no 0.4/0.6 attiecības</t>
  </si>
  <si>
    <t>Perkutāni implantējama sirds kreisā kambara mehāniskas palīgcirkulācijas iekārta</t>
  </si>
  <si>
    <t>Manipulācijas papildu apzīmējums</t>
  </si>
  <si>
    <t>Pacienta līdmaksājums, eiro*</t>
  </si>
  <si>
    <t>**</t>
  </si>
  <si>
    <t>* Samaksa par manipulāciju tiek veikta, ja to norāda VSIA "Paula Stradiņa klīniskā universitātes slimnīca" vai SIA "Rīgas Austrumu klīniskā universitātes slimnīca" vai SIA "Daugavpils reģionālā slimnīca"</t>
  </si>
  <si>
    <t>2027. gadā uzsāk RAKUS un DRS</t>
  </si>
  <si>
    <t>Plānots, ka PSKUS 2026.g. 20 veiks, PSKUS 2027.g. 25 veiks un 5 RAKUS un 5 DRS</t>
  </si>
  <si>
    <t>Pielikums Nr.</t>
  </si>
  <si>
    <t>Sabiedrības informēšanas pasākumi pacientu līdzestības dienā par regulāras paškontroles veikšanu SAS profilaksei un negatīvās ietekmes uz veselību mazināšanai</t>
  </si>
  <si>
    <t>2026.gads*</t>
  </si>
  <si>
    <t>2027.gads*</t>
  </si>
  <si>
    <t>Plānotie nodevumi</t>
  </si>
  <si>
    <t>Plānoto nodevumu skaits</t>
  </si>
  <si>
    <t>Vienas vienības summa bez PVN, euro</t>
  </si>
  <si>
    <t>KOPĀ bez PVN, euro</t>
  </si>
  <si>
    <t>PVN likme (%)</t>
  </si>
  <si>
    <t>Vienas vienības summa ar PVN, euro</t>
  </si>
  <si>
    <t>KOPĀ ar PVN, euro*</t>
  </si>
  <si>
    <t xml:space="preserve">Sabiedrības informēšanas pasākumi </t>
  </si>
  <si>
    <t>Algoritmi</t>
  </si>
  <si>
    <t>Algoritms</t>
  </si>
  <si>
    <t>Ceļš</t>
  </si>
  <si>
    <t>Indikators</t>
  </si>
  <si>
    <t xml:space="preserve">Izstrādāti vienoti doplerogrāfijas (galvas, kakla un kāju asinsvadiem) izmeklējumu apraksti un pacientu ceļi </t>
  </si>
  <si>
    <t xml:space="preserve">Izstrādāts klīniskais algoritms un pacientu ceļš perifēro artēriju slimību, kakla asinsvadu aterosklerozes un aortas aneirismu diagnostikai </t>
  </si>
  <si>
    <t>Izstrādāti un apstiprināti cukura diabēta klīniskie algoritmi un pacientu ceļi dinamiskai novērošanai</t>
  </si>
  <si>
    <t>Izstrādāts pacientu ceļš cukura diabētu komplikāciju diagnostikai un aprūpei (asv., neiroloģiskās, acis)</t>
  </si>
  <si>
    <t>Izstādāts hroniskas nieru slimības skrīningā atklāto gadījumu tālākas uzraudzības algoritms</t>
  </si>
  <si>
    <t>Izstādāts hroniskas nieru slimības skrīningā atklāto gadījumu tālākas uzraudzības algoritms, nodalot ārstniecības personu kompetences, pacientu plūsmas un pacientu uzraudzības atbildības, kā arī veicinot PVA iesaisti.</t>
  </si>
  <si>
    <t>nav</t>
  </si>
  <si>
    <t>Organizēta informatīvs pasākums pacientu līdzestības veicināšanai</t>
  </si>
  <si>
    <t xml:space="preserve">Pacientiem skaidrota viņu loma ārstēšanas procesā, akcentējot veselības ilgtermiņa ieguvumus no pacienta līdzestības  </t>
  </si>
  <si>
    <t>Informatīvs pasākums</t>
  </si>
  <si>
    <t>Apmācīti Rīgā un reģionos vismaz 100 administratīvās un ārstniecības personas un aktualizētas metodiskās rekomendācijas</t>
  </si>
  <si>
    <t>Seminārs</t>
  </si>
  <si>
    <t>* cenai piemērots koeficients 1.05, jo ik gadu pieaug gripas vakcīnas cena</t>
  </si>
  <si>
    <t>Bāzes finansējums</t>
  </si>
  <si>
    <t>46.03.00 "Slimību profilakses nodrošināšana"</t>
  </si>
  <si>
    <t>Esošā budžeta ietvaros</t>
  </si>
  <si>
    <t>Cukura diabēta un prediabēta skrīninga programmas paplašinājums</t>
  </si>
  <si>
    <t>Valsts apmaksāto devu skaitu riska grupu vakcinācijai pret gripu pieejamības nodrošināšana</t>
  </si>
  <si>
    <t>* 2024. gadā Lipoproteīna (a) analīze veikta 88 reizes</t>
  </si>
  <si>
    <t>Pielikums Nr.2.1.2.2.</t>
  </si>
  <si>
    <t>Pielikums Nr.2.1.2.1.</t>
  </si>
  <si>
    <t>Pielikums Nr.1.1.2.</t>
  </si>
  <si>
    <t>Pielikums Nr.2.1.5.1.</t>
  </si>
  <si>
    <t>Pielikums Nr.2.1.5.2.</t>
  </si>
  <si>
    <t>Nodrošināts valsts apmaksāts kardiopulmonālā testa izmeklējums</t>
  </si>
  <si>
    <t>Nodrošināts valsts apmaksāts 18-24h asinsspiediena monitorēšanas pakalpojums</t>
  </si>
  <si>
    <t>5 000 pacientu saņēmuši hroniskas slimības intensificētu dinamisko novērošanu</t>
  </si>
  <si>
    <t>Pielikums Nr.2.2.1.</t>
  </si>
  <si>
    <t>2500 pacienti saņēmuši elektrokardiostimulatora darbības pārbaudi un programmēšanu</t>
  </si>
  <si>
    <t>5 000 pacientiem vismaz 1 reizi pēc simptomātiska insulta vai tranzitoras išēmiskas lēkmes saņemta neirologa konsultācija un veikta neirosonoloģiskā izmeklēšana</t>
  </si>
  <si>
    <t>Nodrošināta hronisko pacientu dinamiskā novērošana ar hronisku slimību slimojošiem pacientiem pēc akūta notikuma vai intervences</t>
  </si>
  <si>
    <t>Pielikums Nr.2.2.2.</t>
  </si>
  <si>
    <t>Pielikums Nr.2.2.4.1.</t>
  </si>
  <si>
    <t>Pielikums Nr.2.2.4.2.</t>
  </si>
  <si>
    <t xml:space="preserve"> Ieviesta hroniskas nieru slimības diagnostika cukura diabēta un arteriālās hipertensijas pacientiem PVA</t>
  </si>
  <si>
    <t>Pielikums Nr.2.2.6.</t>
  </si>
  <si>
    <t>Pielikums Nr.2.3.1..-2.3.1.3.,2.3.2.-2.3.5.</t>
  </si>
  <si>
    <t>Pilnveidotas veselības aprūpes speciālistu zināšanas PVA un SAVA cukura diabēta slimības novērošanai, komplikāciju diagnostikā un ārstēšanā, kā arī hronisku nieru slimības tālākai uzraudzībai, lai optimizētu pacientu plūsmu pie speciālistiem</t>
  </si>
  <si>
    <t>VI, LNB</t>
  </si>
  <si>
    <t>Uzlabot antikoagulantu TOAK pieejamību pacientiem ar perifēro asinsvadu saslimšanās komplikāciju attīstības novēršanai un uzlabot glikozes līmeņa monitorēšanu I tipa cukura diabēta pacientiem no 18 līdz 24 gadu vecumam, kā arī  pacientiem ar smagām un/ vai biežām hipoglikēmijām, labilu diabēta gaitu, nopietnām diabēta vēlīnām komplikācijām</t>
  </si>
  <si>
    <t>Veikta esošo insulta vienību kvalitātes prasību izpildes tematiskā pārbaude:
1.	Insultu vienību pieejamības/sasniedzamības analīze; 
2.	Insulta vienību kvalitātes prasību izpildes audits, ar mērķi uzlabot to darbu un sniegtās specializētās terapijas kvalitāti;
3.	Medicīnisko tehnoloģiju nodrošinājuma analīze</t>
  </si>
  <si>
    <t>Realizēts insulta vienību audits, izstrādāti un VM iesniegti priekšlikumi par nepieciešamajām izmaiņām, kā arī sagatavots cerebrālo asinsvadu slimību invazīvās ārstēšanas rīcības algoritms.</t>
  </si>
  <si>
    <t>Īstenot veselības veicināšanas un slimību profilakses pasākumus, lai mazinātu SAS riska faktorus, ievērojot veselīgu dzīvesveidu.  </t>
  </si>
  <si>
    <t>Veicināta Latvijas iedzīvotāju veselību ietekmējošo paradumu maiņa, mazinot SAS riska faktorus. </t>
  </si>
  <si>
    <t>Īstenots vismaz viens veselības veicināšanas un slimību profilakses pasākums gadā (piemēram, tiešsaistes diskusija ar veselības jomas speciālistiem, tematiskās dienas aktivitātes u.tml.) SAS riska faktoru novēršanai un veselīga dzīvesveida veicināšanai.  </t>
  </si>
  <si>
    <t xml:space="preserve">Pilnveidot komunikāciju ar sabiedrību par veselīga dzīvesveida nozīmi ikdienā un SAS attīstības riskiem (t.sk. infarkta vai insulta pazīmju atpazīšana, riska faktori, diabētu veicinošie faktori u.c.) un to novēršanu.      </t>
  </si>
  <si>
    <t xml:space="preserve">Palielinājusies zinātnē balstītas informācijas par veselīgu dzīvesveidu un SAS riska faktoriem izmantošana Latvijas iedzīvotāju vidū. </t>
  </si>
  <si>
    <t>Pilnveidoti komunikācijas kanāli (piemēram, tīmekļa vietnes) ar veselību saistītas informācijas pieejamības, atpazīstamības un uzticamības uzlabošanai, kā arī iedzīvotāju izpratnes par SAS riska faktoru ierobežošanas un veselīga dzīvesveida nozīmi veicināšanai.</t>
  </si>
  <si>
    <t>2.1.1.</t>
  </si>
  <si>
    <t>Pilnveidot kardiovaskulārā riska noteikšanu PVA</t>
  </si>
  <si>
    <t>2.1.1.1.Pārskatīts esošā SCORE algoritms PVA un izstrādāts SCORE algoritms atbilstoši aktualizētajam SCORE2 algoritmam (augsta riska mirstības valstīm)</t>
  </si>
  <si>
    <t>Izstrādāts aktualizēts algoritms lietošanai PVA un rekomendācijas SCORE ieviešanai</t>
  </si>
  <si>
    <t xml:space="preserve">2.1.1.2. Palielināta pacientu iesaiste SCORE programmas veikšanā </t>
  </si>
  <si>
    <t xml:space="preserve">Izstrādāts pasākumu plāns pacientu iesaistīšanā SCORE noteikšanā, tostarp izvērtētas iespējas izmantot digitālos rīkus                                               </t>
  </si>
  <si>
    <t>MVI KJ</t>
  </si>
  <si>
    <t>Veicināt ģimenes hiperholesterinēmijas un citu smagu primāru vai komplicētu hiperlipidēmiju pacientu novērtēšanu, diagnostiku, uzraudzību, uzskaiti, ārstēšanu un kaskādes skrīninga organizēšanu</t>
  </si>
  <si>
    <t>Lipoproteīna (a) noteikšana pacientiem no 40-75 gadiem vienreiz mūžā</t>
  </si>
  <si>
    <t>Attīstīts ģimenes hiperholisterinēmijas komandas pakalpojums</t>
  </si>
  <si>
    <t xml:space="preserve">Nodrošināta SAVA diagnostikas (veloergometrijas, ehokardiogrāfijas) apmaksa atbilstoši faktiskajām izmaksām </t>
  </si>
  <si>
    <t>LDVC, LAĶB</t>
  </si>
  <si>
    <t>Attīstīt rezistentas arteriālās hipertensijas diagnostiku</t>
  </si>
  <si>
    <t>2.1.8.</t>
  </si>
  <si>
    <t>Veicināt sirds un plaušu slimību diagnostiku</t>
  </si>
  <si>
    <t>Pielikums Nr.2.1.7.</t>
  </si>
  <si>
    <t>Pielikums Nr.2.1.8.</t>
  </si>
  <si>
    <t xml:space="preserve">Nodalīts PVA un SAVA pacientu plūsma perifēro artēriju slimības, kakla asinsvadu aterosklerozes un aortas aneirismu diagnostikā </t>
  </si>
  <si>
    <t xml:space="preserve">Ieviest akūtu notikumu ārstēšanas nepārtrauktību, nodrošinot stacionāros ārstēto pacientu pēctecīgu ārstēšanu ambulatorā sektorā </t>
  </si>
  <si>
    <t>Īstenots SAS hronisku pacientu pilotprojekts piecās ārstniecības iestādēs intensificētas dinamiskās novērošanas efektivitātes izvērtēšanai un hronisko pacientu dinamiskā novērošana pēc akūta notikuma vai vaskulāras intervences</t>
  </si>
  <si>
    <t xml:space="preserve">Uzlabota cukura diabēta pacientu dinamiskā novērošana
</t>
  </si>
  <si>
    <t>Izstrādāti un apstiprināti cukura diabēta klīniskie algoritmi, pacientu ceļi un kvalitātes indikatori dinamiskai novērošanai</t>
  </si>
  <si>
    <t xml:space="preserve">Savlaicīgi atklāt ar cukura diabētu saistītos komplikāciju riskus
</t>
  </si>
  <si>
    <t>2.2.3.1.Uzlabota cukura diabēta komplikāciju savlaicīga atklāšana un ārstēšana</t>
  </si>
  <si>
    <t>Pielikums Nr.2.2.3.1.</t>
  </si>
  <si>
    <t>2.2.3.2. Uzlabota cukura diabēta acu komplikāciju savlaicīga atklāšana un ārstēšana</t>
  </si>
  <si>
    <t>Izstrādāts klīniskais algoritms, kvalitātes indikatori un pacienta ceļš diabētiskās pēdas un trofisko čūlu aprūpei</t>
  </si>
  <si>
    <t>Pielikums Nr.2.2.3.3.</t>
  </si>
  <si>
    <t>Pielikums Nr.2.2.3.2.</t>
  </si>
  <si>
    <t xml:space="preserve">Ieviest hroniskas nieru slimības diagnostika cukura diabēta un arteriālās hipertensijas pacientiem PVA </t>
  </si>
  <si>
    <t>2.2.4.1. Cukura diabēta un arteriālās hipertensijas pacientiem vismaz 1xgadā noteikts kreatinīns (t.sk. glomerulu filtrācijas ātrums) un veikta urīna analīze, kur noteikta mikroalbumīnūrijas klātesamība</t>
  </si>
  <si>
    <t xml:space="preserve">2.2.4.2. Veicināta PVA iesaiste un nodalītas ārstniecības personu kompetences hroniskas nieru slimības diagnostikā </t>
  </si>
  <si>
    <t xml:space="preserve">Izstrādāts hroniskas nieru slimības skrīningā atklāto gadījumu tālākas uzraudzības algoritms, kvalitātes indikatori un pacienta ceļš </t>
  </si>
  <si>
    <t>Uzlabot perifēro asinsvadu saslimšanu dinamisko novērošanu</t>
  </si>
  <si>
    <t xml:space="preserve">Nodalītas PVA un SAVA pacientu plūsmas perifēro artēriju slimības, kakla asinsvadu aterosklerozes un aortas aneirismu dinamiskā novērošanā </t>
  </si>
  <si>
    <t>Veicināt pacientu līdzestību hronisku slimību (īpaši, SAS) slimību dinamiskā novērošanā un medikamentu lietošanā</t>
  </si>
  <si>
    <t xml:space="preserve">Palielinājusies pacientu izpratne par viņu līdzestības nozīmi ārstēšanas procesā, akcentējot veselības ilgtermiņa ieguvumus no pacienta līdzestības                                                                              </t>
  </si>
  <si>
    <t>Organizēts vismaz viens informatīvs pasākums 1xgadā pacientu līdzestības veicināšanai</t>
  </si>
  <si>
    <t>Izvērtēt telemedicīnas izmantošanu pacientu līdzestības veicināšanai SAS un to saistīto saslimšanu uzraudzībā</t>
  </si>
  <si>
    <t>Uzlabot antikoagulantu TOAK pieejamību pacientiem ar perifēro asinsvadu saslimšanām komplikāciju attīstības novēršanai</t>
  </si>
  <si>
    <t xml:space="preserve">2.3.1.1. Kompensēti antikoagulanti TOAK pacientiem pēc asinsvadu revaskularizācijas 3 mēnešus </t>
  </si>
  <si>
    <t xml:space="preserve">2.3.1.2. Kompensēti antikoagulanti pacientiem ar dziļo vēnu trombozi 3-6 mēnešus </t>
  </si>
  <si>
    <t xml:space="preserve">Kompensēt sirds glikozīdus mirdzaritmijas pacientiem, ja nevar ar cita veida medikamentiem panākt normosistoliju </t>
  </si>
  <si>
    <t>Nepieciešams kompensēt antikoagulantus pacientiem ar PATE (plaušu trombemboliju) 12 mēnešu garumā</t>
  </si>
  <si>
    <t>Uzlabot mirdzaritmijas pacientu aprūpi</t>
  </si>
  <si>
    <r>
      <t xml:space="preserve">Kompensēt sirds glikozīdus </t>
    </r>
    <r>
      <rPr>
        <sz val="12"/>
        <color theme="1"/>
        <rFont val="Times New Roman"/>
        <family val="1"/>
        <charset val="186"/>
      </rPr>
      <t>mirdzaritmijas pacientiem, ja nevar ar cita veida medikamentiem panākt normosistoliju</t>
    </r>
  </si>
  <si>
    <t>Uzlabota SAS un to saistīto slimību slimojošo pacientu līdzestība medikamentu lietošanā</t>
  </si>
  <si>
    <t xml:space="preserve">504 402 pacientu skaits, kam nodrošināta 100% kompensācija
</t>
  </si>
  <si>
    <t xml:space="preserve">Veicināt jauniešu (18-24 gadu vecumam) iesaisti I tipa cukura diabēta dinamiskā novērošanā </t>
  </si>
  <si>
    <t xml:space="preserve">Apmaksāta nepārtrauktās glikozes līmeņa noteikšanas sistēma pacientiem pēc 18 gadu vecuma (līdz 24 gadu vecumam (ieskaitot), kas lieto nepārtrauktās glikozes līmeņa noteikšanas sistēmu vai/un insulīna sūkņus līdz 18 gadu vecumam </t>
  </si>
  <si>
    <t>150 pacientiem no 18-24 gadu vecuma apmaksāta  nepārtrauktās glikozes līmeņa noteikšanas sistēma</t>
  </si>
  <si>
    <t xml:space="preserve">Veicināt I tipa cukura diabēta pacientu ar smagām un/ vai biežām hipoglikēmijām, labilu diabēta gaitu, nopietnām diabēta vēlīnām komplikācijām iesaisti I tipa cukura diabēta dinamiskā novērošanā </t>
  </si>
  <si>
    <t>Apmaksāta nepārtrauktās glikozes līmeņa noteikšanas sistēma pacientiem cukura diabēta pacientiem ar smagām un/ vai biežām hipoglikēmijām, labilu diabēta gaitu, nopietnām diabēta vēlīnām komplikācijām</t>
  </si>
  <si>
    <t>500 pacientiem apmaksāta  nepārtrauktās glikozes līmeņa noteikšanas sistēma</t>
  </si>
  <si>
    <t>Realizēts insulta vienību audits, izstrādāti un VM iesniegti priekšlikumi par nepieciešamajām izmaiņām</t>
  </si>
  <si>
    <t>Audits</t>
  </si>
  <si>
    <t>Pielikums Nr.2.4.1.</t>
  </si>
  <si>
    <t>Īstenota esošo insulta vienību kvalitātes prasību izpildes tematiskā pārbaude ar mērķi uzlabot to darbu un sniegtās specializētās terapijas kvalitāti. Audita ietvarā veikti:
1.	Insultu vienību pieejamības/sasniedzamības analīze; 
2.	Insulta vienību kvalitātes prasību izpildes audits, ar mērķi uzlabot to darbu un sniegtās specializētās terapijas kvalitāti;
3.	Medicīnisko tehnoloģiju nodrošinājuma analīze</t>
  </si>
  <si>
    <t xml:space="preserve">2.4.2.3. Veicināta vienota rīcība akūta koronāra sindroma gadījumā </t>
  </si>
  <si>
    <t>Atjaunoti 2019. gadā publicētie klīniskie algoritmi un pacientu ceļi SAS jomā</t>
  </si>
  <si>
    <t>Pilnveidotas NMP dienestā izstrādātās procedūras un metodiskie ieteikumi pacientiem ar aizdomām par akūtu koronāru sindromu</t>
  </si>
  <si>
    <t xml:space="preserve">Atjaunotas NMP, slimnīcu uzņemšanas un citās nodaļās izstrādātās procedūras, metodiskās rekomendācijas </t>
  </si>
  <si>
    <t>Mazināt insulta attīstības risku Latvijas iedzīvotājiem</t>
  </si>
  <si>
    <t>2.4.3.2. Pārskatīti radiofrekventās katetra ablācijas tarifi un diagnostikas manipulācijas aritmijas diagnostikai atbilstoši faktiskajām izmaksām</t>
  </si>
  <si>
    <t>Pielikums Nr.2.4.3.2.</t>
  </si>
  <si>
    <t xml:space="preserve">Papildināt valsts apmaksāto pakalpojumu grozu ar nieru simpātisko denervāciju pacientiem ar izteikti grūti kontrolējamām SAS (ar cukura diabētu, smagu adipozitāti, rezistentas hipertensijas gadījumā) </t>
  </si>
  <si>
    <t>Mazināts kardiovaskulārais risks rezistentas hipertensijas gadījumā grūti kontrolējamo SAS pacientu vidū</t>
  </si>
  <si>
    <t>35 pacienti saņēmuši nieru simpātisko denervāciju rezistentas hipertensijas gadījumā</t>
  </si>
  <si>
    <t>Pielikums Nr.2.4.4.</t>
  </si>
  <si>
    <t>Uzlabot aterosklerozes izraisīto seku ārstēšanas pieejamību Latvijas iedzīvotājiem</t>
  </si>
  <si>
    <t>2.4.5.1. Mazināts pacientu gaidīšanas laiks plānveida invazīvās kardioloģijas pakalpojuma saņemšanai</t>
  </si>
  <si>
    <t>2.4.5.2. Mazināts pacientu gaidīšanas laiks vēdera aortas endoprotezēšanas procedūras saņemšanai</t>
  </si>
  <si>
    <t xml:space="preserve">35 pacienti saņēmuši vēdera aortas endoprotezēšanas procedūras (2026. gads un turpmāk ik gadu)
</t>
  </si>
  <si>
    <t>Mazināts pacientu gaidīšanas laiks plānveida invazīvās kardioloģijas pakalpojuma saņemšanai</t>
  </si>
  <si>
    <t>Pielikums Nr.2.4.5.1.</t>
  </si>
  <si>
    <t xml:space="preserve"> 33.16.00 Pārējo ambulatoro veselības aprūpes pakalpojumu nodrošināšana</t>
  </si>
  <si>
    <t>Mazināts pacientu gaidīšanas laiks vēdera aortas endoprotezēšanas procedūras saņemšanai</t>
  </si>
  <si>
    <t>Pielikums Nr.2.4.5.2.</t>
  </si>
  <si>
    <t>Pielikums Nr.2.4.6.</t>
  </si>
  <si>
    <t>*Plānotais pacientu skaits noteikts pēc ekspertu sniegtās informācijas.</t>
  </si>
  <si>
    <t>Pārskatīt transkatetra vārstuļa implantācijas procedūras tarifs atbilstoši faktiskajām izmaksām un palielināts plānoto pacientu skaits</t>
  </si>
  <si>
    <t>2.4.6.1. Uzlabot (mazinvazīvu) aortas vārstuļu implantācijas pieejamību
2.4.6.2. Papildināts valsts apmaksāto pakalpojumu grozs ar valsts apmaksātu (mazinvazīvu) trikuspidālā, mitrālā, pulmonālā vārstuļa implantācijas procedūru</t>
  </si>
  <si>
    <t>Papildināts valsts apmaksāto pakalpojumu grozs ar valsts apmaksātu (mazinvazīvu) trikuspidālā, mitrālā, pulmonālā vārstuļa implantācijas procedūru un mazinvazīvas aortas vārstuļu implantācijas pieejamību</t>
  </si>
  <si>
    <t xml:space="preserve">Veicināta ātrāka pacienta atveseļošanās sirds ķirurģijas anestezioloģijas un intensīvās terapijas nodaļā </t>
  </si>
  <si>
    <t xml:space="preserve">30 pacientiem implantētas perkutānas implantējamas sirds kreisā kambara mehāniskas palīgcirkulācijas iekārta </t>
  </si>
  <si>
    <t>Sirds palīgcirkulācijas ierīces pielietošana pēc sarežģītām sirds operācijām vai hronisku sirds saslimšanu dekompensācijas gadījumos</t>
  </si>
  <si>
    <t>Pielikums Nr.2.4.7.</t>
  </si>
  <si>
    <t>Analizēt speciālistu un tehnoloģiju klāstu universitātes un IV līmeņa slimnīcās sirds mazspējas pacientu ārstēšanas nodrošināšanai</t>
  </si>
  <si>
    <t>Uzlabota sirds mazspējas pacientu ārstēšanu stacionārā</t>
  </si>
  <si>
    <t>Izstrādāta sirds mazspējas stacionārā programma un definētas prasības nepieciešamajam speciālistu un tehnoloģiju klāstam ātrākai sirds mazspējas pacienta veselības stāvokļa stabilizēšanai</t>
  </si>
  <si>
    <t>Analizēt sirds ķirurģijas un asinsvadu ķirurģijas klīniku kapacitāti, kā arī pielietotās tehnoloģijas pacientu ārstēšanas uzlabošanai</t>
  </si>
  <si>
    <t>Izvērtēta jaunu tehnoloģiju nepieciešamība un aprēķināts finansējums sirds ķirurģijas un asinsvadu ķirurģijas pieejamības uzlabošanai</t>
  </si>
  <si>
    <t>Sagatavot priekšlikumi sirds ķirurģijas un asinsvadu ķirurģijas pieejamības uzlabošanai un kapacitātes stiprināšanai efektīvai pacientu ārstēšanas nodrošināšanai</t>
  </si>
  <si>
    <t>Īstenots pilotprojekts pārejai ar bērnībā operētām kombinētām sirds kaitēm no BKUS uz PSKUS pieaugušo vecumā</t>
  </si>
  <si>
    <t>Izstrādāta ambulatorā programma ar nepieciešamo speciālistu un izmeklējumu klāstu pieaugušo pacientiem ar bērnībā operētu sirdskaiti</t>
  </si>
  <si>
    <t xml:space="preserve">Definēt diabēta pēdas aprūpes specializētā centra funkcijas, nepieciešamo speciālistu un tehnoloģiju klāstu universitātes un reģionālās slimnīcās </t>
  </si>
  <si>
    <t xml:space="preserve">Izvērtēta jaunu tehnoloģiju nepieciešamība un aprēķināts finansējums cukura diabēta pacientiem ar diabēta pēdu, amputācijas vai invaliditātes riska samazināšanai </t>
  </si>
  <si>
    <t>Sagatavoti priekšlikumi diabēta pēdas aprūpei universitāšu un reģionālās slimnīcā, definētas speciālistu kvalifikācijas un nepieciešamo tehnoloģiju prasības</t>
  </si>
  <si>
    <t xml:space="preserve">Sasaistē ar 2.4.1. pasākumu veikta esošo insulta vienību kvalitātes prasību izpildes tematiskā pārbaude </t>
  </si>
  <si>
    <t xml:space="preserve">Sniegti priekšlikumi rehabilitācijas pieejamības uzlabošanai insulta/cerebrovaskulāras saslimšanas akūtā periodā </t>
  </si>
  <si>
    <t>Nodrošināt savlaicīgas rehabilitācijas pieejamību pacientiem ar iedzimtām SAS
(SabVesPam 3.1.6.5.)</t>
  </si>
  <si>
    <t>Sniegti priekšlikumi savlaicīgas rehabilitācijas saņemšanai pacientiem ar iedzimtām SAS</t>
  </si>
  <si>
    <t>Izstrādāti un atjaunoti kvalitatīvas ārstēšanas kritēriji AKS, aritmiju un sirds mazspēju saņemtās ārstēšanas novērtēšanai</t>
  </si>
  <si>
    <t>Izstrādāti un atjaunoti kvalitatīvas ārstēšanas kritēriji insulta saņemtās ārstēšanas novērtēšanai</t>
  </si>
  <si>
    <t>Indikatori</t>
  </si>
  <si>
    <t>Pielikums Nr.2.6.1.</t>
  </si>
  <si>
    <t xml:space="preserve">3.1.1.1. Stiprināta māsu un ārstu palīgu loma un veselības aprūpes personāla zināšanas PVA SCORE, hroniska nieru slimības, cukura diabēta diagnostikas veikšanai </t>
  </si>
  <si>
    <t xml:space="preserve">Organizēts seminārs ar ierakstu PVA par izstrādātajiem SCORE, hroniskas nieru slimības un cukura diabēta skrīninga algoritmiem </t>
  </si>
  <si>
    <t>Apmācītas 150 ārstniecības personas par izstrādātajiem klīniskajiem algoritmiem un pacientu ceļiem - cukura diabēta slimības novērošanai, komplikāciju diagnostikā un ārstēšanā, kā arī hronisku nieru slimības tālākai uzraudzībai</t>
  </si>
  <si>
    <t>Pielikums Nr.3.1.1.1.</t>
  </si>
  <si>
    <t>Pielikums Nr.3.1.2.</t>
  </si>
  <si>
    <t xml:space="preserve">Veikta ārstu un medicīnas personāla izglītošana par komunikācijas stratēģijām, tostarp, kas veicina pacientu motivāciju un līdzestību          </t>
  </si>
  <si>
    <t xml:space="preserve">Apmācītas 200 ārstniecības personas par pacientu līdzestības veicināšanu             </t>
  </si>
  <si>
    <t>Pielikums Nr.3.1.3.</t>
  </si>
  <si>
    <t>Apmācītas 100 ārstniecības personas par medikamentu optimizāciju un polifarmācijas mazināšanu</t>
  </si>
  <si>
    <t>Apmācītas 200 ārstniecības personas par cerebrovaskulāro slimību novēršanu</t>
  </si>
  <si>
    <t>Pielikums Nr.3.1.4.</t>
  </si>
  <si>
    <t>Apmācīti Rīgā un reģionos ~100 ģimenes ārsti un nodrošināti ar metodiskajiem materiāliem (SSK-10 atjaunotā versija)</t>
  </si>
  <si>
    <t>2.5.  Rehabilitācijas pakalpojumu pieejamības veicināšana</t>
  </si>
  <si>
    <t>2.6. Veselības aprūpes kvalitātes uzlabošana</t>
  </si>
  <si>
    <t>2.4. Stacionārās veselības aprūpes pilnveidošanas pasākumi</t>
  </si>
  <si>
    <t>2.2.3.3. Uzlabota cukura diabēta neiroloģisko komplikāciju savlaicīga atklāšana un ārstēšana</t>
  </si>
  <si>
    <t>Stiprināta māsu un ārstu palīgu loma un veselības aprūpes personāla zināšanas PVA SCORE, hroniska nieru slimības, cukura diabēta diagnostikas veikšanai</t>
  </si>
  <si>
    <t>Organizēts seminārs ar ierakstu PVA par izstrādātajiem SCORE, hroniskas nieru slimības un cukura diabēta skrīninga algoritmiem</t>
  </si>
  <si>
    <t>2028.gads</t>
  </si>
  <si>
    <t>2029.gads un turpmāk ik gadu</t>
  </si>
  <si>
    <t>2027. gada I pusgads
(turpmāk ik gadu)</t>
  </si>
  <si>
    <r>
      <t>Sadarbībā ar veselības jomas speciālistiem un pacientu organizācijām īstenoti vismaz divi sabiedrības informēšanas pasākumi</t>
    </r>
    <r>
      <rPr>
        <sz val="10"/>
        <rFont val="Times New Roman"/>
        <family val="1"/>
      </rPr>
      <t xml:space="preserve"> par regulāras paškontroles veikšanu SAS profilaksei un negatīvās ietekmes uz veselību mazināšanai.  </t>
    </r>
  </si>
  <si>
    <t xml:space="preserve">Sadarbībā ar veselības jomas speciālistiem un pacientu organizācijām īstenoti vismaz divi sabiedrības informēšanas pasākumi par regulāras paškontroles veikšanu SAS profilaksei un negatīvās ietekmes uz veselību mazināšanai.  </t>
  </si>
  <si>
    <t xml:space="preserve">2026.gada II pusgads   2027. gada II pusgads  </t>
  </si>
  <si>
    <t>Plānotais ambulatoro pacientu skaits 2028. gadam*</t>
  </si>
  <si>
    <t>Plānotais ambulatoro pacientu skaits 2029. gadam un turpmāk ik gadu*</t>
  </si>
  <si>
    <t>Plānotais ambulatoro pacientu skaits 2030. gadam</t>
  </si>
  <si>
    <t>38 gadus veci pacienti nebūs testējušies 2027. gadā, tāpēc pieskaitīti 30 % par 2027. gadu</t>
  </si>
  <si>
    <t>37 gadus veci pacienti nebūs testējušies 2027. un 2028. gadā, tāpēc pieskaitīti 30 % par 2027. gadu, 38 gadus veci pacienti pirmo reizi testēti 2028. gadā, tāpēc pieskaitīti 30 % par 2028. gadu</t>
  </si>
  <si>
    <t>03.07.2025 Prof.D.Krieviņš vidēji gadā LV veic vairāk kā 3500 perifēro revaskularizāciju.
Pacients pēc perifēro revaskularizāciju veikšanas 3 mēneši lieto antikoagulantus.
2027.gadā - 50%, 2028.gadā - 100% un 2029.gadā un turpmāk ik gadu - 100%</t>
  </si>
  <si>
    <t>Pēc Eiropas epidemioloģiskiem novērojumiem DzVT sastopamība ir 160 gadījumi uz 100 000 iedzīvotāju. Atbilstoši CSP dati  2025.g. sākumā - 1 856 932, ts.k. bērni - 343 504, tātad pieaugušie - 1 513 428. 2027.gadā - 40%, 2028.gadā - 60% un 2029.gadā un turpmāk ik gadu - 80% no DzVT pacientiem saņems medikamentu.</t>
  </si>
  <si>
    <t xml:space="preserve">Veselības aprūpes pakalpojumu norēķinu sistēmas "Vadības informācijas sistēma" unikālo pacientu skaits ar diagnoze I26 (plaušu embolija) 2024.gadā
2027.gadā - 50%, 2028.gadā - 100% un 2029.gadā un turpmāk ik gadu - 100% </t>
  </si>
  <si>
    <t xml:space="preserve">Veselības aprūpes pakalpojumu norēķinu sistēmas "Vadības informācijas sistēma" unikālo pacientu skaits, kas saņēmuši medikamentu 2022.gadā kompensējamo zāļu sistēmas ietvaros. 2027.gadā - 50%, 2028.gadā - 100% un 2029.gadā un turpmāk ik gadu - 100%. </t>
  </si>
  <si>
    <t>Provizoriskais pacientu skaits 2028. gadā*</t>
  </si>
  <si>
    <t>Plānotais pacientu skaits 2028. gadā</t>
  </si>
  <si>
    <t>Papildus nepieciešamais finansējums 2028. gadā, eiro</t>
  </si>
  <si>
    <t>Finansējuma sadalījums pa apakšprogrammām 2028. gadā, EUR</t>
  </si>
  <si>
    <t>Provizoriskais pacientu skaits 2027. gadā</t>
  </si>
  <si>
    <t>Provizoriskais pacientu skaits 2028. gadā un turpmāk</t>
  </si>
  <si>
    <t>LĢĀA, LLĢĀA</t>
  </si>
  <si>
    <t>1.1.5.</t>
  </si>
  <si>
    <t>Mazināt tabakas un nikotīna saturošu izstrādājumu pievilcību patērētāju vidū</t>
  </si>
  <si>
    <t>Izstrādāt normatīvo regulējumu, lai ieviestu Latvijā standartizēto iepakojumu tabakas un nikotīna saturošiem izstrādājumiem</t>
  </si>
  <si>
    <t>Veikti grozījumi tabakas izstrādājumu, tabakas aizstājējproduktu, augu smēķēšanas produktu, elektronisko smēķēšanas ierīču un to šķidrumu aprites likumā</t>
  </si>
  <si>
    <t>VI, SPKC</t>
  </si>
  <si>
    <t xml:space="preserve">2026. gada II pusgads
</t>
  </si>
  <si>
    <t>SCORE programmas izpildes aptvere palielināta vismaz par 5% 2026.gadā un par 10% 2027.gadā</t>
  </si>
  <si>
    <t>2026. gada II pusgads
2027. gada II pusgads</t>
  </si>
  <si>
    <t>LEA, LĢĀA, LLĢĀA</t>
  </si>
  <si>
    <t>Izvērtēta iespēja obligāto veselības pārbaužu laboratorisko izmeklējumu sarakstā, iekļaut glikozes līmeņa, kopējā holesterīna un ABLH un triglicerīdu noteikšanu tukšā dūšā</t>
  </si>
  <si>
    <t>2027.gada pacientu skaits</t>
  </si>
  <si>
    <t>Izmaksas 2027.gadā</t>
  </si>
  <si>
    <t>2028.gadā un turpmāk ik gadu  pacientu skaits</t>
  </si>
  <si>
    <t>Izmaksas 2028. gadā un turpmāk ik gadu</t>
  </si>
  <si>
    <t>Izstrādāts ģimenes hiperholisterinēmijas un citu smagu primāru vai komplicētu hiperlipidēmiju pacientu novērtēšanu, diagnostikas algoritms, kā arī pacienta ceļš un kvalitātes indikatori diagnostikai</t>
  </si>
  <si>
    <t>MVI KJ, LKB, LAĶB, LNB</t>
  </si>
  <si>
    <t>Noteikti ģimenes ārsta un endokrinologa aprūpes līmeņi, , kā arī definēti kritēriji komplicētu pacientu identifikācijai, balstoties uz klīniskiem kritērijiem, esošām blakus slimībām (SAS un nieru slimības) un saņemtās terapijas</t>
  </si>
  <si>
    <t>LEA, LKB, MVI ģimenes medicīnā, LAĶB</t>
  </si>
  <si>
    <t>200 pacienti saņēmuši intravitreālās injekcijas (2027.gads); 
300 pacienti saņēmuši intravitreālās injekcijas (2028.gads); 
350 pacienti saņēmuši intravitreālās injekcijas (2029.gads).</t>
  </si>
  <si>
    <t>Pārskatīti SAS diagnostikas (veloergometrijas, ehokardiogrāfijas) izmeklējumu tarifi. 
2027.gadā un turpmāk ik gadu - stacionārā - 20 798 pacientiem un ambulatori - 105 964 pacientiem veikti izmeklējumi</t>
  </si>
  <si>
    <t xml:space="preserve">Vismaz 2 000 pacienti saņēmuši kardiologa konsultāciju, kas specializējies ģimenes hiperholisterinēmijā 2027.gadā
Vismaz 2 500 pacienti saņēmuši kardiologa konsultāciju, kas specializējies ģimenes hiperholisterinēmijā 2028.gadā
</t>
  </si>
  <si>
    <t>Noteikts lipoproteīns (a) 266 915 pacientiem no 40-75 gadiem (2027.gads); 
Noteikts lipoproteīns (a) 191 927 pacientiem no 40-75 gadiem (2028.gads); 
Noteikts lipoproteīns (a) 140 441 pacientiem no 40-75 gadiem (2029.gads).</t>
  </si>
  <si>
    <t>Izstrādāts klīniskais algoritms, kvalitātes indikatori, pacientu ceļš cukura diabētu komplikāciju diagnostikai un aprūpei (sirds un asinsvadu, neiroloģiskai, acu)</t>
  </si>
  <si>
    <t>LEA, LNB</t>
  </si>
  <si>
    <t xml:space="preserve">50% aptvere riska grupas pacientiem hroniskas nieru slimības (2027.gads); 
55% aptvere riska grupas pacientiem hroniskas nieru slimības (2028.gads); 
60% aptvere riska grupas pacientiem hroniskas nieru slimības (2029.gads). </t>
  </si>
  <si>
    <t>2.2.8.</t>
  </si>
  <si>
    <t>Uzlabot sirds mazspējas pacientu un aritmijas pacientu dinamisko novērošanos</t>
  </si>
  <si>
    <t>Noteiktas ģimenes ārsta un kardiologa aprūpes jomas, kā arī definēti kritēriji komplicētu pacientu identifikācijai, balstoties uz klīniskiem kritērijiem, esošām blakus slimībām un saņemtās  terapijas</t>
  </si>
  <si>
    <t>Pārskatīti sirds mazspējas un aritmiju klīniskie algoritmi, pacientu ceļi un kvalitātes indikatori diagnostikā un dinamiskā novērošanai</t>
  </si>
  <si>
    <t>LKB, LĢĀA, LLĢĀA</t>
  </si>
  <si>
    <t>MVI KJ, LKB, LĢĀA, LLĢĀA</t>
  </si>
  <si>
    <t>Veikta analīze par esošajiem digitālajiem un telemedicīnas pakalpojumiem līdzestības veicināšanā SAS pacientiem</t>
  </si>
  <si>
    <t>Sniegti priekšlikumi par digitālajiem un telemedicīnas pakalpojumu izmantošanu pacienta līdzestības veicināšanai SAS un to saistīto saslimšanu uzraudzībā</t>
  </si>
  <si>
    <t>1 750 pacientiem kompensēts antikoagulants 3 mēnešus pēc asinsvadu revaskularizācijas (2027.gads); 
3 500 pacientiem kompensēts antikoagulants 3 mēnešus pēc asinsvadu revaskularizācijas (2028.gads un turpmāk ik gadu).</t>
  </si>
  <si>
    <t>969 pacientiem kompensēts antikoagulants 3 mēnešus (2027.gads); 
1 453 pacientiem kompensēts antikoagulants 3 mēnešus (2028.gads); 
1 938 pacientiem kompensēts antikoagulants 3 mēnešus (2029.gads un turpmāk ik gadu).</t>
  </si>
  <si>
    <t xml:space="preserve">475 pacientiem kompensēts antikoagulants 12 mēnešus (2027.gads); 
949 pacientiem kompensēts antikoagulants 12 mēnešus (2028.gads un turpmāk ik gadu).
</t>
  </si>
  <si>
    <t>2027.gadā - 3 967 pacientiem, 2028.gadā - 7 934 pacientiem, 2029.gadā un turpmāk ik gadu - 7 934 pacientiem pacientiem kompensēts sirds glikozīdus mirdzaritimijas pacientiem, ja nevar ar cita veida medikamentiem panākt normosistoliju</t>
  </si>
  <si>
    <t>2027.gada I pusgads 
(turpmāk ik gadu)</t>
  </si>
  <si>
    <t>2027.gada II pusgads
(turpmāk ik gadu)</t>
  </si>
  <si>
    <t>2027.gada II pusgads 
(turpmāk ik gadu)</t>
  </si>
  <si>
    <t>2027.gada I pusgads
(turpmāk ik gadu)</t>
  </si>
  <si>
    <t>Veiktas 8113 intervences kardioloģiskiem pacientiem ar sirds ritma traucējumiem (2027.gads); 
Veiktas 8550 intervences kardioloģiskiem pacientiem ar sirds ritma traucējumiem (2028.gads un turpmāk ik gadu).</t>
  </si>
  <si>
    <t>MVI KJ, PSKUS, RAKUS, DRS, LRS, Rīgas 1.slimnīca</t>
  </si>
  <si>
    <t>2026.gada II pusgads (turpmāk ik gadu)</t>
  </si>
  <si>
    <t>LĢĀA, LLĢĀA, LKB</t>
  </si>
  <si>
    <t>Glikozes slodzes tests*</t>
  </si>
  <si>
    <t>Glikohemoglobīns**</t>
  </si>
  <si>
    <t>41103, 41104, 41105</t>
  </si>
  <si>
    <t>*0.016 - iedzīvotāju skaits (vecuma grupā no 35-39 gadi) pret veikto manipulāciju 41096</t>
  </si>
  <si>
    <t>** 0.019 - iedzīvotāju skaits (vecuma grupā no 35-39 gadi) pret veiktajām manipulācijām 41103, 41104, 41105</t>
  </si>
  <si>
    <t>2024. gadā unikālajiem pacientiem veiktais manipulāciju skaits vecuma grupās</t>
  </si>
  <si>
    <t>41103+41104+41105</t>
  </si>
  <si>
    <t>27 430 pacientiem vecumā no 35-39 gadiem veikts cukura diabēta skrīnings (2027. gads); 
34 600 pacientiem vecumā no 35-39 gadiem veikts cukura diabēta skrīnings (2028.gads); 
41 771 pacientiem vecumā no 35-39 gadiem veikts cukura diabēta skrīnings (2029.gads).</t>
  </si>
  <si>
    <t>3 166 pacienti saņēmuši invazīvas kardioloģijas pakalpojumu dienas stacionārā (2027.gads); 
2029 pacienti saņēmuši invazīvas kardioloģijas pakalpojumu dienas stacionārā (2028. gads un turpmāk ik gadu).</t>
  </si>
  <si>
    <t>Plānotais pacientu skaits 2027. gadā, ja atsaucība ir 50 %</t>
  </si>
  <si>
    <t>Plānotais pacientu skaits 2028. gadā, ja atsaucība ir 55 %</t>
  </si>
  <si>
    <t>Plānotais pacientu skaits 2029. gadam un turpmāk ik gadu, ja atsaucība ir 60 %</t>
  </si>
  <si>
    <t xml:space="preserve">Plānotais papildus pacientu skaits 2027. gadam </t>
  </si>
  <si>
    <t>Esošo pacientu skaits (apmaksāto) 2027.g.</t>
  </si>
  <si>
    <t>Esošais finansējums 2027. gada budžetā</t>
  </si>
  <si>
    <t>2029 un turpmāk</t>
  </si>
  <si>
    <t>2028.g. aritmoloģijas kopējais apjoms</t>
  </si>
  <si>
    <t>Dienas stacionārā 2028. gadā</t>
  </si>
  <si>
    <t>Stacionārā 2028.gadā</t>
  </si>
  <si>
    <t>Pielikums Nr.1.1.4.1.</t>
  </si>
  <si>
    <t>2026. gada I pusgads</t>
  </si>
  <si>
    <t>2027. gada II pusgads
 (turpmāk ik gadu)</t>
  </si>
  <si>
    <t>2.4.6.1. - 2027.gadā - 150 pacienti, 2028.gadā un turpmāk ik gadu - 200 pacienti saņēmuši transkatetra aortālā vārstuļa implantāciju
2.4.6.2. - 2027.gadā - 30 pacienti, 2028.gadā un turpmāk ik gadu - 50 pacienti saņēmuši transkatetra trikuspidālā, mitrālā, pulmonālā vārstuļa implantāciju</t>
  </si>
  <si>
    <t>Riska grupu vakcinācija pret pneimokoku infekciju</t>
  </si>
  <si>
    <t>Riska grupa</t>
  </si>
  <si>
    <t>Unikālo pacientu skaits 2024. gadā*</t>
  </si>
  <si>
    <t>Cena ar PVN**</t>
  </si>
  <si>
    <t>1.1.augsta riska kardioloģijas pacienti:</t>
  </si>
  <si>
    <r>
      <t>I50</t>
    </r>
    <r>
      <rPr>
        <i/>
        <sz val="10"/>
        <rFont val="Times New Roman"/>
        <family val="1"/>
        <charset val="186"/>
      </rPr>
      <t xml:space="preserve"> personas ar sirds mazspēju</t>
    </r>
  </si>
  <si>
    <t>Q20–Q25 persoas ar iedzimtu sirds defektu</t>
  </si>
  <si>
    <t>M05–M08, M30–M36, M79.0 personas ar reimatiskajām slimībām</t>
  </si>
  <si>
    <t>1.2.augsta riska plaušu slimību pacienti:</t>
  </si>
  <si>
    <t>J44 personas ar citu hronisku obstruktīvu plaušu slimību</t>
  </si>
  <si>
    <t>J45-J46 personas ar bronhiālo astmu</t>
  </si>
  <si>
    <t>E84 personas ar cistisko fibrozi</t>
  </si>
  <si>
    <t>J47 personas ar bronhektāziju</t>
  </si>
  <si>
    <t>tai skaitā:</t>
  </si>
  <si>
    <t>*Slimību profilakses un kontroles centra rīcībā esoši Nacionālā veselības dienesta dati par valsts apmaksātiem veselības aprūpes pakalpojumiem. Datu avots: Veselības aprūpes kvalitātes un efektivitātes monitorēšanas sistēma.</t>
  </si>
  <si>
    <t xml:space="preserve">*attiecīgās diagnozes gan stacionārās, gan ambulatorās (izņemot palīgkabinetu apmeklējumiem) pamata vai papilddiagnozes. </t>
  </si>
  <si>
    <t>**PCV15 cena ar PVN (ieskaitot manipulāciju) atbilstoši NVD iepirkumam par vakcīnu un šļirču piegādi 2024. un 2025.gadam</t>
  </si>
  <si>
    <t>Cena no iepirkuma bez PVN</t>
  </si>
  <si>
    <t>Sadārdzinājums +10%</t>
  </si>
  <si>
    <t>Manipulācija</t>
  </si>
  <si>
    <t>Vakc.+ manip.</t>
  </si>
  <si>
    <t>Pielikums Nr.1.1.5.</t>
  </si>
  <si>
    <t>Papildus nepieciešamais finansējums 2027.gadam un turpmāk ik gadu</t>
  </si>
  <si>
    <t>2.1.9.</t>
  </si>
  <si>
    <t xml:space="preserve">2.1.6.1. Nodrošināta SAVA diagnostikas (veloergometrijas, ehokardiogrāfijas) apmaksa atbilstoši faktiskajām izmaksām </t>
  </si>
  <si>
    <t xml:space="preserve">2.1.6.2. Definēta pacientu plūsma un uzlabota kvalitāte doplerogrāfijas izmeklējuma saņemšanai </t>
  </si>
  <si>
    <t>2.1.6.3. Definēta pacientu plūsma ehokardiogrāfijas izmeklējumu saņemšanai</t>
  </si>
  <si>
    <t>2.1.5.2. Attīstīts ģimenes hiperholisterinēmijas komandas pakalpojums</t>
  </si>
  <si>
    <t>2.1.5.3. Uzlabota ģimenes hiperholisterinēmijas un citu smagu primāru vai komplicētu hiperlipidēmiju diagnostikas pieejamība</t>
  </si>
  <si>
    <t>Pilnveidot kardiovaskulārā riska noteikšanu ieslodzītajiem</t>
  </si>
  <si>
    <t>Izvērtēta iespēja pārskatītā SCORE algoritma veikšanai ieslodzītajiem</t>
  </si>
  <si>
    <t>Izstrādāts pacienta kardiovaskulārā riska novērtēšanas ceļš ieslodzījuma vietā</t>
  </si>
  <si>
    <t>VM, TM</t>
  </si>
  <si>
    <t>Ieslodzījumu vietu pārvalde, NVD</t>
  </si>
  <si>
    <t>2.3.6.</t>
  </si>
  <si>
    <t>Sagatavoti priekšlikumi medikamentu izrakstīšanas nosacījumu paplašināšanai un jaunu medikamentu iekļaušanai KZS</t>
  </si>
  <si>
    <t>Izskatīt iespēju paplašināt izrakstīšanas nosacījumus kompensējamo zāļu sarakstā esošajiem medikamentiem un/vai iekļaut valsts kompensējamo zāļu sarakstā jaunus medikamentus</t>
  </si>
  <si>
    <t xml:space="preserve">Izvērtēta medikamentozās terapijas pieejamība atbilstoši aktuālajām SAS ārstēšanas un profilakses vadlīnijām  </t>
  </si>
  <si>
    <t>Pielikums Nr. 2.1.5.3.</t>
  </si>
  <si>
    <t>Pielikums Nr.2.1.6.1.</t>
  </si>
  <si>
    <t>Pielikums Nr.2.1.6.2.</t>
  </si>
  <si>
    <t>LNB, LAĶB, LĢĀA, LLĢĀA</t>
  </si>
  <si>
    <t>Datu avots: SPKC Ar noteiktām slimībām slimojošu pacientu reģistrs</t>
  </si>
  <si>
    <t>2027. gada II pusgads
(turpmāk ik gadu)</t>
  </si>
  <si>
    <t>Papildināts valsts apmaksāto pakalpojumu grozs ar sirds palīgcirkulācijas ierīcēm pēc sarežģītām sirds operācijām vai hronisku sirds saslimšanu dekompensācijas gadījumos</t>
  </si>
  <si>
    <t>Izvērtēta savlaicīgas rehabilitācijas pieejamība pacientiem ar iedzimtām SAS</t>
  </si>
  <si>
    <t xml:space="preserve">2.1.5.1. Ieviesta valsts apmaksātu lipoproteīna (a) noteikšana pacientiem no 40-75 gadiem vienreiz mūžā	</t>
  </si>
  <si>
    <t>Samazināt saslimstību ar pneimokoku infekciju un tās izraisīto komplikāciju skaitu</t>
  </si>
  <si>
    <t>Ieviesta valsts apmaksātu riska grupu vakcināciju pret pneimokoku infekciju pieaugušajiem, kas pieder noteiktai riska grupai (augsta riska kardioloģijas pacienti; augsta riska plaušu slimību pacienti)</t>
  </si>
  <si>
    <t xml:space="preserve">Noteikt plašāku obligātās veselības pārbaudes laikā nosakāmo laboratorisko izmeklējumu klāstu </t>
  </si>
  <si>
    <t>Pēc izvērtējuma veikšanas nepieciešamības gadījumā izstrādāti priekšlikumi grozījumiem normatīvajos aktos</t>
  </si>
  <si>
    <t>Nepieciešamais devu skaits (prognozējamā atsaucība - 50%)</t>
  </si>
  <si>
    <t>1.1.6.</t>
  </si>
  <si>
    <t>Pielikums Nr.2.1.9.</t>
  </si>
  <si>
    <t>Pielikums Nr.2.2.7.</t>
  </si>
  <si>
    <t>Sasniegta 50% vakcinācijas aptvere pret pneimokoku infekciju riska grupās</t>
  </si>
  <si>
    <t>LKB, LĢĀA, LLĢĀA, NVO</t>
  </si>
  <si>
    <t xml:space="preserve">LKB, LĢĀA, LLĢĀA, NVO </t>
  </si>
  <si>
    <t xml:space="preserve">BKUS, LKB, LĢĀA, LLĢĀA, NVO, </t>
  </si>
  <si>
    <t>NVD, SPKC, VM</t>
  </si>
  <si>
    <t>NVD, VM</t>
  </si>
  <si>
    <t>MVI KJ, LĢĀA, LLĢĀA, LKB</t>
  </si>
  <si>
    <t>SPKC, NVD, VM</t>
  </si>
  <si>
    <t>LDVC, LĢĀA, LLĢĀA, NVO</t>
  </si>
  <si>
    <t>LM, LLĢĀA, LĢĀA, LKB, LEA, LAĀB</t>
  </si>
  <si>
    <t>VM, NVD</t>
  </si>
  <si>
    <t>MVI KJ, LKB</t>
  </si>
  <si>
    <t xml:space="preserve">VM, VI </t>
  </si>
  <si>
    <t>MVI ģimenes medicīnā, LĢĀA, LLĢĀA, LNA, LNMAA</t>
  </si>
  <si>
    <t xml:space="preserve">MVI KJ, NVO </t>
  </si>
  <si>
    <t>NVD, ārstu profesionālās asociācijas, NVO</t>
  </si>
  <si>
    <t>VM, NMPD</t>
  </si>
  <si>
    <t>MVI KJ, slimnīcas, LKB, SPKC</t>
  </si>
  <si>
    <t>NMPD, VM</t>
  </si>
  <si>
    <t>MVI KJ, slimnīcas, LKB</t>
  </si>
  <si>
    <t>MVI KJ, LAĶB, LSĶA, LKB</t>
  </si>
  <si>
    <t>MVI KJ, MVI pediatrijā, BKUS, LSĶB, NVD, LDVC</t>
  </si>
  <si>
    <t>RAKUS, PSKUS, reģionālās slimnīcas, LEA</t>
  </si>
  <si>
    <t>VM, NVD, SPKC</t>
  </si>
  <si>
    <t>MVI KJ, LĢĀA, LLĢĀA, LIB, LKB</t>
  </si>
  <si>
    <t>LĢĀA, LLĢĀA, NVO</t>
  </si>
  <si>
    <t xml:space="preserve">MVI ģimenes medicīnā, LKB, LĀĶB, LEA, LNA, LNMAA, LĢĀA, LLĢĀA </t>
  </si>
  <si>
    <t>Pielikums Sirds un asinsvadu veselības uzlabošanas rīcības plāns 2026.–2027. gadam</t>
  </si>
  <si>
    <t>Nepieciešamais papildu finansējums indikatīvi</t>
  </si>
  <si>
    <t>Papildus nepieciešamais finansējums indikatīvi 2027.gadam</t>
  </si>
  <si>
    <r>
      <t xml:space="preserve">Papildus nepieciešamais finansējums indikatīvi 2028.gadam
</t>
    </r>
    <r>
      <rPr>
        <sz val="10"/>
        <color rgb="FF000000"/>
        <rFont val="Times New Roman"/>
        <family val="1"/>
        <charset val="186"/>
      </rPr>
      <t>(ar 5% pieaugumu vakcīnām pret iepriekšējo gadu)</t>
    </r>
  </si>
  <si>
    <r>
      <t xml:space="preserve">Papildu nepieciešamais finansējums indikatīvi 2029.gadam
</t>
    </r>
    <r>
      <rPr>
        <sz val="10"/>
        <color rgb="FF000000"/>
        <rFont val="Times New Roman"/>
        <family val="1"/>
        <charset val="186"/>
      </rPr>
      <t>(ar 5% pieaugumu vakcīnām pret iepriekšējo gadu)</t>
    </r>
  </si>
  <si>
    <r>
      <t xml:space="preserve">Papildus nepieciešamais finansējums indikatīvi turpmāk ik gadu 
(ja pasākums nav terminēts)
</t>
    </r>
    <r>
      <rPr>
        <sz val="10"/>
        <color rgb="FF000000"/>
        <rFont val="Times New Roman"/>
        <family val="1"/>
        <charset val="186"/>
      </rPr>
      <t>(ar 5% pieaugumu vakcīnām pret iepriekšējo gadu)</t>
    </r>
  </si>
  <si>
    <t>Papildus nepieciešamais finansējums indikatīvi 2028.gadam</t>
  </si>
  <si>
    <t>Papildu nepieciešamais finansējums indikatīvi 2029.gadam</t>
  </si>
  <si>
    <t>Papildus nepieciešamais finansējums indikatīvi turpmāk ik gadu 
(ja pasākums nav terminēts)</t>
  </si>
  <si>
    <t>Papildus nepieciešamais finansējums indikatīvi 2027. gadam</t>
  </si>
  <si>
    <t>Papildus nepieciešamais finansējums indikatīvi 2028. gadam</t>
  </si>
  <si>
    <t>Papildus nepieciešamais finansējums indikatīvi 2029. gadam un turpmāk ik gadu
(ja pasākums nav terminēts)</t>
  </si>
  <si>
    <t>Papildus nepieciešamais finansējums indikatīvi 2027. gadā, ja atsaucība ir 50 %, euro</t>
  </si>
  <si>
    <t>Papildus nepieciešamais finansējums indikatīvi 2028. gadā, ja atsaucība ir 55 %, euro</t>
  </si>
  <si>
    <t>Papildus nepieciešamais finansējums indikatīvi 2029. gadā un turpmāk ik gadu, ja atsaucība ir 60 %, euro</t>
  </si>
  <si>
    <t xml:space="preserve">Papildus nepieciešamais finansējums indikatīvi 2029. gadam </t>
  </si>
  <si>
    <t>Papildus nepieciešamais finansējums indikatīvi 2030. gadam un turpmāk ik gadu
(ja pasākums nav terminēts)</t>
  </si>
  <si>
    <t>Papildus nepieciešamais finansējums indikatīvi 2027. gadā, euro</t>
  </si>
  <si>
    <t>Papildus nepieciešamais finansējums indikatīvi 2028. gadā, euro</t>
  </si>
  <si>
    <t>Papildus nepieciešamais finansējums indikatīvi 2029.gadā un turpmāk ik gadu, euro</t>
  </si>
  <si>
    <t>Papildus nepieciešamais finansējums indikatīvi 2030.gadā, euro</t>
  </si>
  <si>
    <t>Papildus nepieciešamais finansējums indikatīvi 2029. gadam un  turpmāk ik gadu
(ja pasākums nav terminēts)</t>
  </si>
  <si>
    <t>Papildus nepieciešamais finansējums indikatīvi 2028. gadā un turpmāk ik gadu
(ja pasākums nav terminēts)</t>
  </si>
  <si>
    <t>Nepieciešamais  papildus finansējums indikatīvi gadā, eiro</t>
  </si>
  <si>
    <t>Papildus nepieciešamais finansējums indikatīvi 2028. gadam un  turpmāk ik gadu
(ja pasākums nav terminēts)</t>
  </si>
  <si>
    <t>Nepieciešamais finansējums indikatīvi gadā, eiro</t>
  </si>
  <si>
    <t>Nepieciešamais finansējums indikatīvi gadā, EUR</t>
  </si>
  <si>
    <t>Finansējuma sadalījums indikatīvi pa apakšprogrammām, EUR</t>
  </si>
  <si>
    <t>Finansējums indikatīvi ar PVN, euro</t>
  </si>
  <si>
    <t>Papildus nepieciešamais finansējums indikatīvi 2028.gadam un turpmāk ik gadu
(ja pasākums nav terminēts)</t>
  </si>
  <si>
    <t>Papildus nepieciešamais finansējums indikatīvi 2027.gadā, euro**</t>
  </si>
  <si>
    <t>Papildus nepieciešamais finansējums indikatīvi 2028.gadā, euro**</t>
  </si>
  <si>
    <t>Papildus nepieciešamais finansējums indikatīvi 2029.gadā, euro**</t>
  </si>
  <si>
    <r>
      <t>Papildus nepieciešamais finansējums indikatīvi 2027. gadā, ja atsaucība ir 50 %</t>
    </r>
    <r>
      <rPr>
        <vertAlign val="superscript"/>
        <sz val="11"/>
        <color rgb="FF000000"/>
        <rFont val="Times New Roman"/>
        <family val="1"/>
        <charset val="186"/>
      </rPr>
      <t>6</t>
    </r>
    <r>
      <rPr>
        <sz val="11"/>
        <color rgb="FF000000"/>
        <rFont val="Times New Roman"/>
        <family val="1"/>
        <charset val="186"/>
      </rPr>
      <t>, euro</t>
    </r>
  </si>
  <si>
    <r>
      <t>Papildus nepieciešamais finansējums indikatīvi 2028. gadā, ja atsaucība ir 55 %</t>
    </r>
    <r>
      <rPr>
        <vertAlign val="superscript"/>
        <sz val="11"/>
        <color rgb="FF000000"/>
        <rFont val="Times New Roman"/>
        <family val="1"/>
        <charset val="186"/>
      </rPr>
      <t>6</t>
    </r>
    <r>
      <rPr>
        <sz val="11"/>
        <color rgb="FF000000"/>
        <rFont val="Times New Roman"/>
        <family val="1"/>
        <charset val="186"/>
      </rPr>
      <t>, euro</t>
    </r>
  </si>
  <si>
    <r>
      <t>Papildus nepieciešamais finansējums indikatīvi 2029. gadā un turpmāk ik gadu, ja atsaucība ir 60 %</t>
    </r>
    <r>
      <rPr>
        <vertAlign val="superscript"/>
        <sz val="11"/>
        <color rgb="FF000000"/>
        <rFont val="Times New Roman"/>
        <family val="1"/>
        <charset val="186"/>
      </rPr>
      <t>6</t>
    </r>
    <r>
      <rPr>
        <sz val="11"/>
        <color rgb="FF000000"/>
        <rFont val="Times New Roman"/>
        <family val="1"/>
        <charset val="186"/>
      </rPr>
      <t>, euro</t>
    </r>
  </si>
  <si>
    <t>Papildus nepieciešamais finansējums indikatīvi gadā, eiro</t>
  </si>
  <si>
    <r>
      <t xml:space="preserve">Papildus nepieciešamais finansējums indikatīvi </t>
    </r>
    <r>
      <rPr>
        <sz val="10"/>
        <rFont val="Times New Roman"/>
        <family val="1"/>
        <charset val="186"/>
      </rPr>
      <t>2027.gadam</t>
    </r>
  </si>
  <si>
    <r>
      <t>Papildus nepieciešamais finansējums</t>
    </r>
    <r>
      <rPr>
        <sz val="10"/>
        <rFont val="Times New Roman"/>
        <family val="1"/>
        <charset val="186"/>
      </rPr>
      <t xml:space="preserve"> indikatīvi 2028.gadam</t>
    </r>
  </si>
  <si>
    <r>
      <t>Papildus nepieciešamais finansējums</t>
    </r>
    <r>
      <rPr>
        <sz val="10"/>
        <rFont val="Times New Roman"/>
        <family val="1"/>
        <charset val="186"/>
      </rPr>
      <t xml:space="preserve"> indikatīvi 2029.gadam</t>
    </r>
  </si>
  <si>
    <t>Papildus nepieciešamais finansējums indikatīvi 2030. gadam un turpmāk ik gadu 
(ja pasākums nav terminēts)</t>
  </si>
  <si>
    <t>Nepieciešamais finansējums indikatīvi, EUR</t>
  </si>
  <si>
    <t>Papildus nepieciešamais finansējums indikatīvi 2028.gadam un turpmāk ik gadu (ja pasākums nav terminēts)</t>
  </si>
  <si>
    <t>Nepieciešamais finansējums indikatīvi ambulatori 2027. gadā, eiro</t>
  </si>
  <si>
    <t>Nepieciešamais finansējums indikatīvi stacionāri 2027.  gadā, eiro</t>
  </si>
  <si>
    <t>Nepieciešamais finansējums indikatīvi kopā 2027.  gadā, eiro</t>
  </si>
  <si>
    <t>Nepieciešamais finansējums indikatīvi ambulatori 2028. gadā, eiro</t>
  </si>
  <si>
    <t>Nepieciešamais finansējums indikatīvi stacionāri 2028.  gadā, eiro</t>
  </si>
  <si>
    <t>Nepieciešamais finansējums indikatīvi kopā 2028. gadā un turpmāk ik gadu, eiro</t>
  </si>
  <si>
    <t>Papildus nepieciešamais finansējums indikatīvi  2027. gadam</t>
  </si>
  <si>
    <t>Nepieciešamais finansējums indikatīvi 2027.gadā, eiro</t>
  </si>
  <si>
    <t>Nepieciešamais finansējums indikatīvi 2028. gadā un turpmāk ik gadu, eiro</t>
  </si>
  <si>
    <t>Papildus nepieciešamais finansējums indikatīvi  2028. gadam</t>
  </si>
  <si>
    <t>Papildus nepieciešamais finansējums indikatīvi  2029. gadam un  turpmāk ik gadu
(ja pasākums nav terminēts)</t>
  </si>
  <si>
    <t>Nepieciešamais papildu finansējums indikatīvi 2027.gadam un turpmāk, EUR</t>
  </si>
  <si>
    <t>Papildus nepieciešamais finansējums indikatīvi 2028. gadam  un turpmāk ik gadu
(ja pasākums nav terminēts)</t>
  </si>
  <si>
    <t>Nepieciešamais finansējums indikatīvi 2027.g. un turpmāk, eiro</t>
  </si>
  <si>
    <t>Papildus nepieciešamais finansējums indikatīvi  2028. gadam  un turpmāk ik gadu
(ja pasākums nav terminēts)</t>
  </si>
  <si>
    <t>Papildus nepieciešamais finansējums  indikatīvi 2028. gadam  un turpmāk ik gadu
(ja pasākums nav terminēts)</t>
  </si>
  <si>
    <t>Nepieciešamais finansējums  indikatīvi 2028. gadā un tupmāk, EUR</t>
  </si>
  <si>
    <t>Nepieciešamais finansējums  indikatīvi 2027. gadā, EUR</t>
  </si>
  <si>
    <t>Finansējums  indikatīvi ar PVN, euro</t>
  </si>
  <si>
    <t>Finansējums  indikatīvi bez PVN, euro</t>
  </si>
  <si>
    <t xml:space="preserve">VBF  indikatīvi </t>
  </si>
  <si>
    <t>VBF indikatīvi</t>
  </si>
  <si>
    <t>VBF  indikatīvi</t>
  </si>
  <si>
    <t>Veikts 1000 nejauši atlasītu nāves cēloņa medicīnisko apliecību kvalitātes kontroles pētījums par laika periodu 2025.gada 1.janvāris – 30.decembris un sniegti priekšlikumi pareiza (precizētā) nāves cēloņa formulēšanai</t>
  </si>
  <si>
    <r>
      <t>VM,</t>
    </r>
    <r>
      <rPr>
        <sz val="11"/>
        <color rgb="FFEE0000"/>
        <rFont val="Times New Roman"/>
        <family val="1"/>
      </rPr>
      <t xml:space="preserve"> </t>
    </r>
    <r>
      <rPr>
        <sz val="11"/>
        <color rgb="FF000000"/>
        <rFont val="Times New Roman"/>
        <family val="1"/>
      </rPr>
      <t>NVD, SPKC</t>
    </r>
  </si>
  <si>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4.1.2.1. pasākuma  "Nacionāla mēroga veselības veicināšanas un slimību profilakses pasākumi" projektā "Nacionāla mēroga veselības veicināšanas un slimību profilakses pasākumi" (Nr.4.1.2.1./1/24/I/001).  Šobrīd  nav zināms ar kādu finanšu apjomu rezultēsies plānotie 4.1.2.1. pasākuma  "Nacionāla mēroga veselības veicināšanas un slimību profilakses pasākumi" projekta "Nacionāla mēroga veselības veicināšanas un slimību profilakses pasākumi" iepirkumi 2027.gadam, līdz ar to Sirds un asinsvadu veselības uzlabošanas rīcības plānā 2025.–2027. gadam, norādītais finansējuma apjoms var mainīties.</t>
  </si>
  <si>
    <t>Izstrādāti grozījumi Ministru kabineta 2016. gada 17. maija noteikumos Nr. 306 "Noteikumi par prasībām uz iepakojumiem izvietojamiem brīdinājumiem par ietekmi uz veselību”</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</si>
  <si>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4.1.2.7. pasākuma  "Pilnveidot pacientu drošību un aprūpes kvalitāti" projektā "Pilnveidot pacientu drošību un aprūpes kvalitāti" (Nr. 4.1.2.7/1/24/I/001).  Šobrīd  nav zināms ar kādu finanšu apjomu rezultēsies plānotie 4.1.2.7. pasākuma  "Pilnveidot pacientu drošību un aprūpes kvalitāti" projekta "Pilnveidot pacientu drošību un aprūpes kvalitāti" iepirkumi 2027.gadam, līdz ar to Sirds un asinsvadu veselības uzlabošanas rīcības plānā 2025.–2027. gadam, norādītais finansējuma apjoms var mainīties.</t>
  </si>
  <si>
    <t>BKUS, PSKUS, RAKUS, Nacionālais rehabilitācijas centrs "Vaivari”, LDVC</t>
  </si>
  <si>
    <t>Izpildīt tematiskās pārbaudes "Akūta koronāra sindroma pacientu aprūpe” secinājumus</t>
  </si>
  <si>
    <t>BKUS, PSKUS, RAKUS, Nacionālais rehabilitācijas centrs "Vaivari”</t>
  </si>
  <si>
    <t>MVI pediatrijā, MVI KJ, 
BKUS, PSKUS, nacionālais rehabilitācijas centrs "Vaivari”</t>
  </si>
  <si>
    <t>MVI KJ, BKUS, PSKUS, RAKUS, Nacionālais rehabilitācijas centrs "Vaivari”</t>
  </si>
  <si>
    <t>BKUS, PSKUS, RAKUS, Nacionālais rehabilitācijas centrs "Vaivari”, LNB</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</si>
  <si>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4.1.2.6. pasākuma "Izglītības iespēju nodrošināšana ārstniecībā iesaistītajām personām” projektā "Izglītības iespēju nodrošināšana ārstniecībā iesaistītajām personām” (Nr.4.1.2.6./1/24/I/001). Šobrīd  nav zināms ar kādu finanšu apjomu rezultēsies plānotie 4.1.2.6. pasākuma "Izglītības iespēju nodrošināšana ārstniecībā iesaistītajām personām” projekta "Izglītības iespēju nodrošināšana ārstniecībā iesaistītajām personām" iepirkumi 2027.gadam, līdz ar to Sirds un asinsvadu veselības uzlabošanas rīcības plānā 2025.–2027. gadam, norādītais finansējuma apjoms var mainīties.</t>
  </si>
  <si>
    <t>*Eiropas Sociālā fonda (ESF+) finansējums, 2021.-2027.gada plānošanas perioda Darbības programmas 4.1.2.SAM "Uzlabot vienlīdzīgu un savlaicīgu piekļuvi kvalitatīviem, ilgtspējīgiem un izmaksu ziņā pieejamiem veselības aprūpes, veselības veicināšanas un slimību profilakses pakalpojumiem, uzlabojot veselības aprūpes sistēmu efektivitāti un izturētspēju”  4.1.2.7. pasākums "Pilnveidot pacientu drošību un aprūpes kvalitāti"</t>
  </si>
  <si>
    <t>Additional coverage for the devices: https://www.e-tar.lt/portal/lt/legalAct/e94bd2d05b8211edbc04912defe897d1/asr (see "Consolidated version annexes” on the right)</t>
  </si>
  <si>
    <t>DRG list you can find here: https://ligoniukasa.lrv.lt/lt/veiklos-sritys/gydymo-istaigoms-ir-partneriams/kompensuojamuju-paslaugu-kainos/sveikatos-prieziuros-paslaugu-bazines-kainos/ See "Stacionaro DRG kainos”</t>
  </si>
  <si>
    <t>DRG list can be found here: https://www.tervisekassa.ee/partnerile/raviasutusele/tervishoiuteenuste-loetelu, see the latest "List of health care services”</t>
  </si>
  <si>
    <t xml:space="preserve">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4.1.2.6. pasākuma "Izglītības iespēju nodrošināšana ārstniecībā iesaistītajām personām” projektā "Izglītības iespēju nodrošināšana ārstniecībā iesaistītajām personām” (Nr.4.1.2.6./1/24/I/001). Šobrīd  nav zināms ar kādu finanšu apjomu rezultēsies plānotie 4.1.2.6. pasākuma "Izglītības iespēju nodrošināšana ārstniecībā iesaistītajām personām” projekta "Izglītības iespēju nodrošināšana ārstniecībā iesaistītajām personām" iepirkumi 2027.gadam, līdz ar to Sirds un asinsvadu veselības uzlabošanas rīcības plānā 2025.–2027. gadam, norādītais finansējuma apjoms var mainīties. </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</si>
  <si>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4.1.2.7. pasākuma  "Nacionāla mēroga veselības veicināšanas un slimību profilakses pasākumi" projektā "Nacionāla mēroga veselības veicināšanas un slimību profilakses pasākumi".  Šobrīd  nav zināms ar kādu finanšu apjomu rezultēsies plānotie 4.1.2.7. pasākuma  "Pilnveidot pacientu drošību un aprūpes kvalitāti" projekta "Pilnveidot pacientu drošību un aprūpes kvalitāti" iepirkumi 2027.gadam, līdz ar to Sirds un asinsvadu veselības uzlabošanas rīcības plānā 2025.–2027. gadam, norādītais finansējuma apjoms var mainīties</t>
  </si>
  <si>
    <t>**Eiropas Sociālā fonda Plus (ESF+) finansējums, Eiropas Savienības kohēzijas politikas programmas 2021.–2027.gadam 4.1.2.SAM "Uzlabot vienlīdzīgu un savlaicīgu piekļuvi kvalitatīviem, ilgtspējīgiem un izmaksu ziņā pieejamiem veselības aprūpes, veselības veicināšanas un slimību profilakses pakalpojumiem, uzlabojot veselības aprūpes sistēmu efektivitāti un izturētspēju”  4.1.2.7. pasākuma  "Nacionāla mēroga veselības veicināšanas un slimību profilakses pasākumi" projektā "Nacionāla mēroga veselības veicināšanas un slimību profilakses pasākumi".  Šobrīd  nav zināms ar kādu finanšu apjomu rezultēsies plānotie 4.1.2.7. pasākuma  "Pilnveidot pacientu drošību un aprūpes kvalitāti" projekta "Pilnveidot pacientu drošību un aprūpes kvalitāti" iepirkumi 2027.gadam, līdz ar to Sirds un asinsvadu veselības uzlabošanas rīcības plānā 2025.–2027. gadam, norādītais finansējuma apjoms var mainīties</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</si>
</sst>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 _€_-;\-* #,##0.00\ _€_-;_-* &quot;-&quot;??\ _€_-;_-@_-"/>
    <numFmt numFmtId="164" formatCode="_-* #,##0.00_-;\-* #,##0.00_-;_-* &quot;-&quot;??_-;_-@_-"/>
    <numFmt numFmtId="165" formatCode="_(* #,##0.00_);_(* \(#,##0.00\);_(* &quot;-&quot;??_);_(@_)"/>
    <numFmt numFmtId="166" formatCode="_-* #,##0_-;\-* #,##0_-;_-* &quot;-&quot;??_-;_-@_-"/>
    <numFmt numFmtId="167" formatCode="0.0000"/>
    <numFmt numFmtId="168" formatCode="_-* #,##0\ _€_-;\-* #,##0\ _€_-;_-* &quot;-&quot;??\ _€_-;_-@_-"/>
    <numFmt numFmtId="169" formatCode="_(* #,##0_);_(* \(#,##0\);_(* &quot;-&quot;??_);_(@_)"/>
    <numFmt numFmtId="170" formatCode="0.0%"/>
  </numFmts>
  <fonts count="100">
    <font>
      <sz val="11"/>
      <color theme="1"/>
      <name val="Aptos Narrow"/>
      <family val="2"/>
      <charset val="186"/>
      <scheme val="minor"/>
    </font>
    <font>
      <sz val="11"/>
      <color rgb="FF000000"/>
      <name val="Aptos Narrow"/>
      <family val="2"/>
      <charset val="186"/>
    </font>
    <font>
      <b/>
      <sz val="11"/>
      <color rgb="FF000000"/>
      <name val="Times New Roman"/>
      <family val="1"/>
      <charset val="186"/>
    </font>
    <font>
      <sz val="11"/>
      <color rgb="FF000000"/>
      <name val="Times New Roman"/>
      <family val="1"/>
      <charset val="186"/>
    </font>
    <font>
      <sz val="12"/>
      <name val="Times New Roman"/>
      <family val="1"/>
      <charset val="186"/>
    </font>
    <font>
      <sz val="12"/>
      <color rgb="FF000000"/>
      <name val="Times New Roman"/>
      <family val="1"/>
      <charset val="186"/>
    </font>
    <font>
      <sz val="12"/>
      <color rgb="FFFF0000"/>
      <name val="Times New Roman"/>
      <family val="1"/>
      <charset val="186"/>
    </font>
    <font>
      <sz val="11"/>
      <color rgb="FFFF0000"/>
      <name val="Aptos Narrow"/>
      <family val="2"/>
      <charset val="186"/>
      <scheme val="minor"/>
    </font>
    <font>
      <i/>
      <sz val="11"/>
      <color rgb="FF000000"/>
      <name val="Times New Roman"/>
      <family val="1"/>
      <charset val="186"/>
    </font>
    <font>
      <b/>
      <i/>
      <sz val="11"/>
      <color rgb="FF000000"/>
      <name val="Times New Roman"/>
      <family val="1"/>
      <charset val="186"/>
    </font>
    <font>
      <sz val="11"/>
      <color rgb="FFFF0000"/>
      <name val="Times New Roman"/>
      <family val="1"/>
      <charset val="186"/>
    </font>
    <font>
      <sz val="11"/>
      <color theme="1"/>
      <name val="Aptos Narrow"/>
      <family val="2"/>
      <charset val="186"/>
      <scheme val="minor"/>
    </font>
    <font>
      <b/>
      <sz val="12"/>
      <name val="Times New Roman"/>
      <family val="1"/>
      <charset val="186"/>
    </font>
    <font>
      <sz val="11"/>
      <name val="Times New Roman"/>
      <family val="1"/>
      <charset val="186"/>
    </font>
    <font>
      <b/>
      <sz val="11"/>
      <name val="Times New Roman"/>
      <family val="1"/>
      <charset val="186"/>
    </font>
    <font>
      <sz val="11"/>
      <color theme="1"/>
      <name val="Times New Roman"/>
      <family val="1"/>
      <charset val="186"/>
    </font>
    <font>
      <b/>
      <sz val="11"/>
      <color theme="1"/>
      <name val="Times New Roman"/>
      <family val="1"/>
      <charset val="186"/>
    </font>
    <font>
      <b/>
      <i/>
      <sz val="11"/>
      <color theme="1"/>
      <name val="Times New Roman"/>
      <family val="1"/>
      <charset val="186"/>
    </font>
    <font>
      <b/>
      <sz val="11"/>
      <color rgb="FF000000"/>
      <name val="Aptos Narrow"/>
      <family val="2"/>
    </font>
    <font>
      <sz val="12"/>
      <color rgb="FF000000"/>
      <name val="Times New Roman"/>
      <family val="1"/>
    </font>
    <font>
      <sz val="12"/>
      <name val="Times New Roman"/>
      <family val="1"/>
    </font>
    <font>
      <sz val="12"/>
      <color theme="1"/>
      <name val="Times New Roman"/>
      <family val="1"/>
      <charset val="186"/>
    </font>
    <font>
      <vertAlign val="superscript"/>
      <sz val="11"/>
      <color theme="1"/>
      <name val="Times New Roman"/>
      <family val="1"/>
      <charset val="186"/>
    </font>
    <font>
      <vertAlign val="superscript"/>
      <sz val="11"/>
      <color rgb="FF000000"/>
      <name val="Times New Roman"/>
      <family val="1"/>
      <charset val="186"/>
    </font>
    <font>
      <b/>
      <vertAlign val="superscript"/>
      <sz val="11"/>
      <color theme="1"/>
      <name val="Times New Roman"/>
      <family val="1"/>
      <charset val="186"/>
    </font>
    <font>
      <sz val="11"/>
      <color rgb="FF000000"/>
      <name val="Aptos Narrow"/>
      <family val="2"/>
    </font>
    <font>
      <b/>
      <sz val="12"/>
      <color rgb="FF000000"/>
      <name val="Times New Roman"/>
      <family val="1"/>
    </font>
    <font>
      <b/>
      <sz val="12"/>
      <name val="Times New Roman"/>
      <family val="1"/>
    </font>
    <font>
      <b/>
      <sz val="12"/>
      <color theme="1"/>
      <name val="Times New Roman"/>
      <family val="1"/>
    </font>
    <font>
      <sz val="11"/>
      <color rgb="FF000000"/>
      <name val="Times New Roman"/>
      <family val="1"/>
    </font>
    <font>
      <sz val="11"/>
      <color theme="1"/>
      <name val="Aptos Narrow"/>
      <family val="2"/>
      <scheme val="minor"/>
    </font>
    <font>
      <sz val="10"/>
      <color theme="1"/>
      <name val="Times New Roman"/>
      <family val="1"/>
    </font>
    <font>
      <sz val="10"/>
      <color theme="1"/>
      <name val="Times New Roman"/>
      <family val="1"/>
      <charset val="186"/>
    </font>
    <font>
      <sz val="10"/>
      <name val="Arial"/>
      <family val="2"/>
      <charset val="186"/>
    </font>
    <font>
      <sz val="10"/>
      <name val="Times New Roman"/>
      <family val="1"/>
      <charset val="186"/>
    </font>
    <font>
      <b/>
      <sz val="10"/>
      <color theme="1"/>
      <name val="Times New Roman"/>
      <family val="1"/>
    </font>
    <font>
      <b/>
      <sz val="10"/>
      <name val="Times New Roman"/>
      <family val="1"/>
    </font>
    <font>
      <b/>
      <sz val="10"/>
      <color theme="1"/>
      <name val="Times New Roman"/>
      <family val="1"/>
      <charset val="186"/>
    </font>
    <font>
      <sz val="11"/>
      <color theme="1"/>
      <name val="Times New Roman"/>
      <family val="1"/>
    </font>
    <font>
      <b/>
      <sz val="11"/>
      <color theme="1"/>
      <name val="Times New Roman"/>
      <family val="1"/>
    </font>
    <font>
      <sz val="11"/>
      <name val="Times New Roman"/>
      <family val="1"/>
    </font>
    <font>
      <sz val="10"/>
      <color rgb="FFFF0000"/>
      <name val="Times New Roman"/>
      <family val="1"/>
    </font>
    <font>
      <sz val="10"/>
      <name val="Times New Roman"/>
      <family val="1"/>
    </font>
    <font>
      <i/>
      <sz val="10"/>
      <name val="Times New Roman"/>
      <family val="1"/>
    </font>
    <font>
      <i/>
      <sz val="10"/>
      <color theme="1"/>
      <name val="Times New Roman"/>
      <family val="1"/>
    </font>
    <font>
      <u/>
      <sz val="11"/>
      <color theme="10"/>
      <name val="Aptos Narrow"/>
      <family val="2"/>
      <charset val="186"/>
      <scheme val="minor"/>
    </font>
    <font>
      <sz val="11"/>
      <color rgb="FFFF0000"/>
      <name val="Times New Roman"/>
      <family val="1"/>
    </font>
    <font>
      <sz val="11"/>
      <color rgb="FFFFFFFF"/>
      <name val="Calibri"/>
      <family val="2"/>
      <charset val="186"/>
    </font>
    <font>
      <sz val="11"/>
      <color rgb="FF000000"/>
      <name val="Calibri"/>
      <family val="2"/>
      <charset val="186"/>
    </font>
    <font>
      <sz val="9"/>
      <color rgb="FF000000"/>
      <name val="Calibri"/>
      <family val="2"/>
      <charset val="186"/>
    </font>
    <font>
      <sz val="11"/>
      <color rgb="FF000000"/>
      <name val="Calibri"/>
      <family val="2"/>
    </font>
    <font>
      <sz val="11"/>
      <color rgb="FF202020"/>
      <name val="Calibri"/>
      <family val="2"/>
      <charset val="186"/>
    </font>
    <font>
      <b/>
      <sz val="11"/>
      <color rgb="FF000000"/>
      <name val="Calibri"/>
      <family val="2"/>
      <charset val="186"/>
    </font>
    <font>
      <b/>
      <sz val="11"/>
      <name val="Times New Roman"/>
      <family val="1"/>
    </font>
    <font>
      <i/>
      <sz val="12"/>
      <color rgb="FF000000"/>
      <name val="Times New Roman"/>
      <family val="1"/>
      <charset val="186"/>
    </font>
    <font>
      <sz val="10"/>
      <color rgb="FF000000"/>
      <name val="Times New Roman"/>
      <family val="1"/>
      <charset val="186"/>
    </font>
    <font>
      <b/>
      <sz val="11"/>
      <color rgb="FFFF0000"/>
      <name val="Aptos Narrow"/>
      <family val="2"/>
      <charset val="186"/>
    </font>
    <font>
      <sz val="10"/>
      <color rgb="FFFF0000"/>
      <name val="Times New Roman"/>
      <family val="1"/>
      <charset val="186"/>
    </font>
    <font>
      <b/>
      <sz val="11"/>
      <color rgb="FF000000"/>
      <name val="Times New Roman"/>
      <family val="1"/>
    </font>
    <font>
      <b/>
      <sz val="10"/>
      <color rgb="FF000000"/>
      <name val="Times New Roman"/>
      <family val="1"/>
    </font>
    <font>
      <sz val="10"/>
      <color theme="1"/>
      <name val="Aptos Narrow"/>
      <family val="2"/>
      <charset val="186"/>
      <scheme val="minor"/>
    </font>
    <font>
      <b/>
      <sz val="12"/>
      <color rgb="FF000000"/>
      <name val="Times New Roman"/>
      <family val="1"/>
      <charset val="186"/>
    </font>
    <font>
      <sz val="10"/>
      <color rgb="FF000000"/>
      <name val="Times New Roman"/>
      <family val="1"/>
    </font>
    <font>
      <b/>
      <sz val="12"/>
      <color theme="1"/>
      <name val="Times New Roman"/>
      <family val="1"/>
      <charset val="186"/>
    </font>
    <font>
      <sz val="12"/>
      <color theme="1"/>
      <name val="Times New Roman"/>
      <family val="1"/>
    </font>
    <font>
      <sz val="12"/>
      <color rgb="FFFF0000"/>
      <name val="Times New Roman"/>
      <family val="1"/>
    </font>
    <font>
      <b/>
      <sz val="16"/>
      <color rgb="FFFF0000"/>
      <name val="Times New Roman"/>
      <family val="1"/>
    </font>
    <font>
      <sz val="8"/>
      <color theme="1"/>
      <name val="Times New Roman"/>
      <family val="1"/>
    </font>
    <font>
      <strike/>
      <sz val="10"/>
      <name val="Times New Roman"/>
      <family val="1"/>
      <charset val="186"/>
    </font>
    <font>
      <strike/>
      <sz val="10"/>
      <color theme="1"/>
      <name val="Times New Roman"/>
      <family val="1"/>
      <charset val="186"/>
    </font>
    <font>
      <b/>
      <sz val="11"/>
      <color rgb="FFFF0000"/>
      <name val="Aptos Narrow"/>
      <family val="2"/>
    </font>
    <font>
      <sz val="8"/>
      <name val="Aptos Narrow"/>
      <family val="2"/>
      <charset val="186"/>
      <scheme val="minor"/>
    </font>
    <font>
      <sz val="11"/>
      <color theme="1"/>
      <name val="Times"/>
    </font>
    <font>
      <sz val="10"/>
      <color theme="0"/>
      <name val="Times New Roman"/>
      <family val="1"/>
    </font>
    <font>
      <b/>
      <sz val="10"/>
      <color rgb="FF000000"/>
      <name val="Times New Roman"/>
      <family val="1"/>
      <charset val="186"/>
    </font>
    <font>
      <sz val="8"/>
      <color theme="1"/>
      <name val="Times New Roman"/>
      <family val="1"/>
      <charset val="186"/>
    </font>
    <font>
      <sz val="11"/>
      <color theme="1"/>
      <name val="Times New Roman"/>
      <family val="1"/>
    </font>
    <font>
      <sz val="10"/>
      <name val="Times"/>
    </font>
    <font>
      <sz val="11"/>
      <color theme="1"/>
      <name val="Times new"/>
    </font>
    <font>
      <sz val="11"/>
      <color rgb="FF000000"/>
      <name val="Times New Roman"/>
      <family val="1"/>
    </font>
    <font>
      <sz val="11"/>
      <color rgb="FF000000"/>
      <name val="Times New Roman"/>
      <family val="1"/>
      <charset val="1"/>
    </font>
    <font>
      <b/>
      <sz val="8"/>
      <color theme="1"/>
      <name val="Times New Roman"/>
      <family val="1"/>
      <charset val="186"/>
    </font>
    <font>
      <sz val="8"/>
      <color rgb="FF000000"/>
      <name val="Times New Roman"/>
      <family val="1"/>
      <charset val="186"/>
    </font>
    <font>
      <b/>
      <sz val="12"/>
      <color rgb="FF000000"/>
      <name val="Aptos"/>
      <family val="2"/>
    </font>
    <font>
      <sz val="12"/>
      <color rgb="FF000000"/>
      <name val="Aptos"/>
      <family val="2"/>
    </font>
    <font>
      <sz val="12"/>
      <name val="Times New Roman"/>
      <family val="1"/>
      <charset val="1"/>
    </font>
    <font>
      <b/>
      <sz val="10"/>
      <name val="Times New Roman"/>
      <family val="1"/>
      <charset val="186"/>
    </font>
    <font>
      <b/>
      <sz val="12"/>
      <name val="Aptos"/>
      <family val="2"/>
      <charset val="186"/>
    </font>
    <font>
      <sz val="12"/>
      <name val="Aptos"/>
      <family val="2"/>
      <charset val="186"/>
    </font>
    <font>
      <sz val="10"/>
      <color indexed="8"/>
      <name val="Arial"/>
      <family val="2"/>
    </font>
    <font>
      <b/>
      <i/>
      <sz val="10"/>
      <name val="Times New Roman"/>
      <family val="1"/>
      <charset val="186"/>
    </font>
    <font>
      <i/>
      <sz val="10"/>
      <name val="Times New Roman"/>
      <family val="1"/>
      <charset val="186"/>
    </font>
    <font>
      <i/>
      <sz val="10"/>
      <color rgb="FF000000"/>
      <name val="Times New Roman"/>
      <family val="1"/>
      <charset val="186"/>
    </font>
    <font>
      <i/>
      <sz val="10"/>
      <color theme="1"/>
      <name val="Times New Roman"/>
      <family val="1"/>
      <charset val="186"/>
    </font>
    <font>
      <i/>
      <sz val="8"/>
      <color rgb="FF000000"/>
      <name val="Times New Roman"/>
      <family val="1"/>
    </font>
    <font>
      <sz val="8"/>
      <color rgb="FF000000"/>
      <name val="Times New Roman"/>
      <family val="1"/>
    </font>
    <font>
      <sz val="8"/>
      <color theme="1"/>
      <name val="Aptos Narrow"/>
      <family val="2"/>
      <charset val="186"/>
      <scheme val="minor"/>
    </font>
    <font>
      <b/>
      <i/>
      <sz val="10"/>
      <color theme="1"/>
      <name val="Times New Roman"/>
      <family val="1"/>
    </font>
    <font>
      <sz val="11"/>
      <color rgb="FFEE0000"/>
      <name val="Times New Roman"/>
      <family val="1"/>
    </font>
    <font>
      <b/>
      <sz val="11"/>
      <color rgb="FF242424"/>
      <name val="Times New Roman"/>
      <family val="1"/>
    </font>
  </fonts>
  <fills count="26">
    <fill>
      <patternFill patternType="none"/>
    </fill>
    <fill>
      <patternFill patternType="gray125"/>
    </fill>
    <fill>
      <patternFill patternType="solid">
        <fgColor rgb="FFDAF2D0"/>
        <bgColor rgb="FF000000"/>
      </patternFill>
    </fill>
    <fill>
      <patternFill patternType="solid">
        <fgColor rgb="FFFFFFFF"/>
        <bgColor rgb="FF000000"/>
      </patternFill>
    </fill>
    <fill>
      <patternFill patternType="solid">
        <fgColor theme="9" tint="0.79998168889431442"/>
        <bgColor indexed="64"/>
      </patternFill>
    </fill>
    <fill>
      <patternFill patternType="solid">
        <fgColor rgb="FFA9D08E"/>
        <bgColor rgb="FF000000"/>
      </patternFill>
    </fill>
    <fill>
      <patternFill patternType="solid">
        <fgColor rgb="FFE2EFDA"/>
        <bgColor rgb="FF000000"/>
      </patternFill>
    </fill>
    <fill>
      <patternFill patternType="solid">
        <fgColor theme="3" tint="0.89999084444715716"/>
        <bgColor indexed="64"/>
      </patternFill>
    </fill>
    <fill>
      <patternFill patternType="solid">
        <fgColor theme="0"/>
        <bgColor indexed="64"/>
      </patternFill>
    </fill>
    <fill>
      <patternFill patternType="solid">
        <fgColor rgb="FFE2EFDA"/>
        <bgColor rgb="FFEDEDED"/>
      </patternFill>
    </fill>
    <fill>
      <patternFill patternType="solid">
        <fgColor theme="9" tint="0.59999389629810485"/>
        <bgColor indexed="64"/>
      </patternFill>
    </fill>
    <fill>
      <patternFill patternType="solid">
        <fgColor theme="9" tint="0.79998168889431442"/>
        <bgColor rgb="FF000000"/>
      </patternFill>
    </fill>
    <fill>
      <patternFill patternType="solid">
        <fgColor rgb="FF92D050"/>
        <bgColor indexed="64"/>
      </patternFill>
    </fill>
    <fill>
      <patternFill patternType="solid">
        <fgColor rgb="FF305496"/>
        <bgColor rgb="FF000000"/>
      </patternFill>
    </fill>
    <fill>
      <patternFill patternType="solid">
        <fgColor rgb="FFD9E1F2"/>
        <bgColor rgb="FF000000"/>
      </patternFill>
    </fill>
    <fill>
      <patternFill patternType="solid">
        <fgColor theme="9" tint="0.59999389629810485"/>
        <bgColor rgb="FF000000"/>
      </patternFill>
    </fill>
    <fill>
      <patternFill patternType="solid">
        <fgColor theme="0"/>
        <bgColor rgb="FF000000"/>
      </patternFill>
    </fill>
    <fill>
      <patternFill patternType="solid">
        <fgColor theme="8" tint="0.79998168889431442"/>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79998168889431442"/>
        <bgColor rgb="FF000000"/>
      </patternFill>
    </fill>
  </fills>
  <borders count="6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thin">
        <color rgb="FF000000"/>
      </bottom>
      <diagonal/>
    </border>
    <border>
      <left/>
      <right style="thin">
        <color rgb="FF000000"/>
      </right>
      <top style="thin">
        <color indexed="64"/>
      </top>
      <bottom style="thin">
        <color indexed="64"/>
      </bottom>
      <diagonal/>
    </border>
    <border>
      <left/>
      <right/>
      <top style="thin">
        <color indexed="64"/>
      </top>
      <bottom style="thin">
        <color indexed="64"/>
      </bottom>
      <diagonal/>
    </border>
    <border>
      <left style="thin">
        <color rgb="FF808080"/>
      </left>
      <right style="thin">
        <color rgb="FF808080"/>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rgb="FF808080"/>
      </left>
      <right style="thin">
        <color rgb="FF808080"/>
      </right>
      <top style="thin">
        <color rgb="FF808080"/>
      </top>
      <bottom/>
      <diagonal/>
    </border>
    <border>
      <left style="thin">
        <color rgb="FF808080"/>
      </left>
      <right style="thin">
        <color rgb="FF808080"/>
      </right>
      <top/>
      <bottom/>
      <diagonal/>
    </border>
    <border>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808080"/>
      </left>
      <right/>
      <top/>
      <bottom/>
      <diagonal/>
    </border>
    <border>
      <left/>
      <right style="thin">
        <color rgb="FF808080"/>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rgb="FF000000"/>
      </bottom>
      <diagonal/>
    </border>
    <border>
      <left/>
      <right style="thin">
        <color indexed="64"/>
      </right>
      <top/>
      <bottom style="thin">
        <color rgb="FF000000"/>
      </bottom>
      <diagonal/>
    </border>
    <border>
      <left style="thin">
        <color rgb="FF808080"/>
      </left>
      <right style="thin">
        <color rgb="FF808080"/>
      </right>
      <top style="thin">
        <color rgb="FF808080"/>
      </top>
      <bottom style="thin">
        <color rgb="FF808080"/>
      </bottom>
      <diagonal/>
    </border>
    <border>
      <left style="thin">
        <color rgb="FF000000"/>
      </left>
      <right/>
      <top/>
      <bottom/>
      <diagonal/>
    </border>
    <border>
      <left/>
      <right style="thin">
        <color rgb="FF000000"/>
      </right>
      <top/>
      <bottom/>
      <diagonal/>
    </border>
    <border>
      <left style="thin">
        <color rgb="FF808080"/>
      </left>
      <right/>
      <top style="thin">
        <color rgb="FF808080"/>
      </top>
      <bottom style="thin">
        <color rgb="FF808080"/>
      </bottom>
      <diagonal/>
    </border>
    <border>
      <left/>
      <right/>
      <top style="thin">
        <color indexed="64"/>
      </top>
      <bottom/>
      <diagonal/>
    </border>
    <border>
      <left/>
      <right/>
      <top/>
      <bottom style="thin">
        <color indexed="64"/>
      </bottom>
      <diagonal/>
    </border>
    <border>
      <left/>
      <right style="thin">
        <color indexed="64"/>
      </right>
      <top/>
      <bottom/>
      <diagonal/>
    </border>
    <border>
      <left/>
      <right/>
      <top/>
      <bottom style="thin">
        <color rgb="FF80808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rgb="FF000000"/>
      </left>
      <right style="thin">
        <color rgb="FF000000"/>
      </right>
      <top/>
      <bottom/>
      <diagonal/>
    </border>
    <border>
      <left style="thin">
        <color indexed="64"/>
      </left>
      <right/>
      <top/>
      <bottom style="thin">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thin">
        <color indexed="64"/>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rgb="FF808080"/>
      </left>
      <right/>
      <top style="thin">
        <color rgb="FF808080"/>
      </top>
      <bottom/>
      <diagonal/>
    </border>
    <border>
      <left style="thin">
        <color rgb="FF808080"/>
      </left>
      <right/>
      <top/>
      <bottom style="thin">
        <color rgb="FF808080"/>
      </bottom>
      <diagonal/>
    </border>
    <border>
      <left style="thin">
        <color rgb="FF808080"/>
      </left>
      <right style="thin">
        <color rgb="FF808080"/>
      </right>
      <top/>
      <bottom style="thin">
        <color indexed="64"/>
      </bottom>
      <diagonal/>
    </border>
    <border>
      <left/>
      <right/>
      <top style="medium">
        <color indexed="64"/>
      </top>
      <bottom style="thin">
        <color indexed="64"/>
      </bottom>
      <diagonal/>
    </border>
    <border>
      <left style="thin">
        <color rgb="FF000000"/>
      </left>
      <right style="thin">
        <color rgb="FF000000"/>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rgb="FF808080"/>
      </right>
      <top style="thin">
        <color rgb="FF808080"/>
      </top>
      <bottom/>
      <diagonal/>
    </border>
    <border>
      <left style="medium">
        <color indexed="64"/>
      </left>
      <right style="medium">
        <color indexed="64"/>
      </right>
      <top style="medium">
        <color indexed="64"/>
      </top>
      <bottom style="medium">
        <color indexed="64"/>
      </bottom>
      <diagonal/>
    </border>
    <border>
      <left/>
      <right style="thin">
        <color rgb="FF000000"/>
      </right>
      <top style="thin">
        <color rgb="FF000000"/>
      </top>
      <bottom style="thin">
        <color indexed="64"/>
      </bottom>
      <diagonal/>
    </border>
    <border>
      <left style="thin">
        <color rgb="FF000000"/>
      </left>
      <right style="thin">
        <color rgb="FF000000"/>
      </right>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medium">
        <color indexed="64"/>
      </top>
      <bottom/>
      <diagonal/>
    </border>
  </borders>
  <cellStyleXfs count="10">
    <xf numFmtId="0" fontId="0" fillId="0" borderId="0"/>
    <xf numFmtId="164" fontId="11" fillId="0" borderId="0" applyFont="0" applyFill="0" applyBorder="0" applyAlignment="0" applyProtection="0"/>
    <xf numFmtId="0" fontId="30" fillId="0" borderId="0"/>
    <xf numFmtId="0" fontId="11" fillId="0" borderId="0"/>
    <xf numFmtId="0" fontId="33" fillId="0" borderId="0"/>
    <xf numFmtId="0" fontId="11" fillId="0" borderId="0"/>
    <xf numFmtId="164" fontId="33" fillId="0" borderId="0" applyFont="0" applyFill="0" applyBorder="0" applyAlignment="0" applyProtection="0"/>
    <xf numFmtId="0" fontId="45" fillId="0" borderId="0" applyNumberFormat="0" applyFill="0" applyBorder="0" applyAlignment="0" applyProtection="0"/>
    <xf numFmtId="164" fontId="11" fillId="0" borderId="0" applyFont="0" applyFill="0" applyBorder="0" applyAlignment="0" applyProtection="0"/>
    <xf numFmtId="0" fontId="11" fillId="0" borderId="0"/>
  </cellStyleXfs>
  <cellXfs count="1730">
    <xf numFmtId="0" fontId="0" fillId="0" borderId="0" xfId="0"/>
    <xf numFmtId="0" fontId="1" fillId="0" borderId="0" xfId="0" applyFont="1"/>
    <xf numFmtId="0" fontId="4" fillId="0" borderId="0" xfId="0" applyFont="1" applyAlignment="1">
      <alignment wrapText="1"/>
    </xf>
    <xf numFmtId="0" fontId="5"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1" xfId="0" applyFont="1" applyBorder="1" applyAlignment="1">
      <alignment horizontal="left" wrapText="1"/>
    </xf>
    <xf numFmtId="0" fontId="5" fillId="2" borderId="3" xfId="0" applyFont="1" applyFill="1" applyBorder="1" applyAlignment="1">
      <alignment horizontal="center" vertical="center" wrapText="1"/>
    </xf>
    <xf numFmtId="0" fontId="6" fillId="0" borderId="0" xfId="0" applyFont="1" applyAlignment="1">
      <alignment wrapText="1"/>
    </xf>
    <xf numFmtId="0" fontId="6" fillId="0" borderId="0" xfId="0" applyFont="1"/>
    <xf numFmtId="0" fontId="5" fillId="0" borderId="0" xfId="0" applyFont="1" applyAlignment="1">
      <alignment wrapText="1"/>
    </xf>
    <xf numFmtId="1" fontId="5" fillId="0" borderId="0" xfId="0" applyNumberFormat="1" applyFont="1" applyAlignment="1">
      <alignment horizontal="center" wrapText="1"/>
    </xf>
    <xf numFmtId="2" fontId="5" fillId="3" borderId="10" xfId="0" applyNumberFormat="1" applyFont="1" applyFill="1" applyBorder="1" applyAlignment="1">
      <alignment horizontal="center" vertical="center"/>
    </xf>
    <xf numFmtId="0" fontId="5" fillId="0" borderId="10" xfId="0" applyFont="1" applyBorder="1" applyAlignment="1">
      <alignment horizontal="center" vertical="center"/>
    </xf>
    <xf numFmtId="1" fontId="5" fillId="0" borderId="10" xfId="0" applyNumberFormat="1" applyFont="1" applyBorder="1" applyAlignment="1">
      <alignment horizontal="center" vertical="center"/>
    </xf>
    <xf numFmtId="0" fontId="5" fillId="2" borderId="12" xfId="0" applyFont="1" applyFill="1" applyBorder="1" applyAlignment="1">
      <alignment horizontal="center" vertical="center" wrapText="1"/>
    </xf>
    <xf numFmtId="0" fontId="3" fillId="0" borderId="1" xfId="0" applyFont="1" applyBorder="1" applyAlignment="1">
      <alignment wrapText="1"/>
    </xf>
    <xf numFmtId="0" fontId="7" fillId="0" borderId="0" xfId="0" applyFont="1"/>
    <xf numFmtId="0" fontId="3" fillId="2" borderId="3" xfId="0" applyFont="1" applyFill="1" applyBorder="1" applyAlignment="1">
      <alignment horizontal="center" vertical="center" wrapText="1"/>
    </xf>
    <xf numFmtId="0" fontId="3" fillId="2" borderId="12" xfId="0" applyFont="1" applyFill="1" applyBorder="1" applyAlignment="1">
      <alignment horizontal="center" vertical="center" wrapText="1"/>
    </xf>
    <xf numFmtId="2" fontId="3" fillId="3" borderId="10" xfId="0" applyNumberFormat="1" applyFont="1" applyFill="1" applyBorder="1" applyAlignment="1">
      <alignment horizontal="center" vertical="center"/>
    </xf>
    <xf numFmtId="166" fontId="3" fillId="3" borderId="2" xfId="1" applyNumberFormat="1" applyFont="1" applyFill="1" applyBorder="1" applyAlignment="1">
      <alignment horizontal="center" vertical="center"/>
    </xf>
    <xf numFmtId="0" fontId="3" fillId="3" borderId="0" xfId="0" applyFont="1" applyFill="1"/>
    <xf numFmtId="0" fontId="3" fillId="3" borderId="0" xfId="0" applyFont="1" applyFill="1" applyAlignment="1">
      <alignment wrapText="1"/>
    </xf>
    <xf numFmtId="0" fontId="3" fillId="5" borderId="16" xfId="0" applyFont="1" applyFill="1" applyBorder="1"/>
    <xf numFmtId="0" fontId="3" fillId="5" borderId="9" xfId="0" applyFont="1" applyFill="1" applyBorder="1" applyAlignment="1">
      <alignment wrapText="1"/>
    </xf>
    <xf numFmtId="0" fontId="3" fillId="5" borderId="9" xfId="0" applyFont="1" applyFill="1" applyBorder="1"/>
    <xf numFmtId="0" fontId="3" fillId="3" borderId="9" xfId="0" applyFont="1" applyFill="1" applyBorder="1" applyAlignment="1">
      <alignment horizontal="center"/>
    </xf>
    <xf numFmtId="166" fontId="5" fillId="0" borderId="0" xfId="1" applyNumberFormat="1" applyFont="1" applyAlignment="1">
      <alignment horizontal="center" wrapText="1"/>
    </xf>
    <xf numFmtId="166" fontId="5" fillId="0" borderId="10" xfId="1" applyNumberFormat="1" applyFont="1" applyBorder="1" applyAlignment="1">
      <alignment horizontal="left" vertical="center"/>
    </xf>
    <xf numFmtId="0" fontId="3" fillId="3" borderId="8" xfId="0" applyFont="1" applyFill="1" applyBorder="1" applyAlignment="1">
      <alignment horizontal="center"/>
    </xf>
    <xf numFmtId="0" fontId="3" fillId="3" borderId="9" xfId="0" applyFont="1" applyFill="1" applyBorder="1" applyAlignment="1">
      <alignment horizontal="center" wrapText="1"/>
    </xf>
    <xf numFmtId="0" fontId="3" fillId="3" borderId="0" xfId="0" applyFont="1" applyFill="1" applyAlignment="1">
      <alignment horizontal="center" vertical="center" wrapText="1"/>
    </xf>
    <xf numFmtId="0" fontId="3" fillId="3" borderId="9" xfId="0" applyFont="1" applyFill="1" applyBorder="1" applyAlignment="1">
      <alignment horizontal="center" vertical="center"/>
    </xf>
    <xf numFmtId="0" fontId="13" fillId="3" borderId="9" xfId="0" applyFont="1" applyFill="1" applyBorder="1" applyAlignment="1">
      <alignment horizontal="center" vertical="center" wrapText="1"/>
    </xf>
    <xf numFmtId="2" fontId="13" fillId="3" borderId="9" xfId="0" applyNumberFormat="1" applyFont="1" applyFill="1" applyBorder="1" applyAlignment="1">
      <alignment horizontal="center" vertical="center" wrapText="1"/>
    </xf>
    <xf numFmtId="2" fontId="14" fillId="6" borderId="9" xfId="0" applyNumberFormat="1" applyFont="1" applyFill="1" applyBorder="1" applyAlignment="1">
      <alignment horizontal="center" vertical="center"/>
    </xf>
    <xf numFmtId="0" fontId="14" fillId="6" borderId="9" xfId="0" applyFont="1" applyFill="1" applyBorder="1" applyAlignment="1">
      <alignment horizontal="center" vertical="center"/>
    </xf>
    <xf numFmtId="2" fontId="13" fillId="3" borderId="9" xfId="0" applyNumberFormat="1" applyFont="1" applyFill="1" applyBorder="1" applyAlignment="1">
      <alignment horizontal="center" vertical="center"/>
    </xf>
    <xf numFmtId="2" fontId="3" fillId="3" borderId="9" xfId="0" applyNumberFormat="1" applyFont="1" applyFill="1" applyBorder="1" applyAlignment="1">
      <alignment horizontal="center" vertical="center"/>
    </xf>
    <xf numFmtId="0" fontId="3" fillId="5" borderId="9" xfId="0" applyFont="1" applyFill="1" applyBorder="1" applyAlignment="1">
      <alignment horizontal="center" vertical="center"/>
    </xf>
    <xf numFmtId="0" fontId="3" fillId="3" borderId="0" xfId="0" applyFont="1" applyFill="1" applyAlignment="1">
      <alignment vertical="center" wrapText="1"/>
    </xf>
    <xf numFmtId="0" fontId="3" fillId="3" borderId="1" xfId="0" applyFont="1" applyFill="1" applyBorder="1" applyAlignment="1">
      <alignment vertical="center" wrapText="1"/>
    </xf>
    <xf numFmtId="0" fontId="3" fillId="3" borderId="2" xfId="0" applyFont="1" applyFill="1" applyBorder="1" applyAlignment="1">
      <alignment vertical="center" wrapText="1"/>
    </xf>
    <xf numFmtId="0" fontId="3" fillId="3" borderId="0" xfId="0" applyFont="1" applyFill="1" applyAlignment="1">
      <alignment vertical="center"/>
    </xf>
    <xf numFmtId="0" fontId="12" fillId="0" borderId="4" xfId="0" applyFont="1" applyBorder="1" applyAlignment="1">
      <alignment horizontal="center" vertical="center" wrapText="1"/>
    </xf>
    <xf numFmtId="0" fontId="12" fillId="0" borderId="13" xfId="0" applyFont="1" applyBorder="1" applyAlignment="1">
      <alignment horizontal="center" vertical="center" wrapText="1"/>
    </xf>
    <xf numFmtId="0" fontId="3" fillId="3" borderId="1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15" fillId="0" borderId="0" xfId="0" applyFont="1"/>
    <xf numFmtId="0" fontId="9" fillId="0" borderId="0" xfId="0" applyFont="1"/>
    <xf numFmtId="0" fontId="17" fillId="0" borderId="0" xfId="0" applyFont="1"/>
    <xf numFmtId="0" fontId="15" fillId="0" borderId="0" xfId="0" applyFont="1" applyAlignment="1">
      <alignment horizontal="center" vertical="center"/>
    </xf>
    <xf numFmtId="0" fontId="4" fillId="0" borderId="0" xfId="0" applyFont="1" applyAlignment="1">
      <alignment horizontal="left" wrapText="1"/>
    </xf>
    <xf numFmtId="0" fontId="5" fillId="2" borderId="10" xfId="0" applyFont="1" applyFill="1" applyBorder="1" applyAlignment="1">
      <alignment horizontal="center" vertical="center" wrapText="1"/>
    </xf>
    <xf numFmtId="0" fontId="19" fillId="2" borderId="10" xfId="0" applyFont="1" applyFill="1" applyBorder="1" applyAlignment="1">
      <alignment horizontal="center" vertical="center" wrapText="1"/>
    </xf>
    <xf numFmtId="49" fontId="20" fillId="2" borderId="10" xfId="0" applyNumberFormat="1" applyFont="1" applyFill="1" applyBorder="1" applyAlignment="1">
      <alignment horizontal="center" vertical="center" wrapText="1"/>
    </xf>
    <xf numFmtId="49" fontId="4" fillId="2" borderId="10" xfId="0" applyNumberFormat="1" applyFont="1" applyFill="1" applyBorder="1" applyAlignment="1">
      <alignment horizontal="center" vertical="center" wrapText="1"/>
    </xf>
    <xf numFmtId="164" fontId="19" fillId="3" borderId="10" xfId="1" applyFont="1" applyFill="1" applyBorder="1" applyAlignment="1">
      <alignment horizontal="center" vertical="center"/>
    </xf>
    <xf numFmtId="2" fontId="19" fillId="3" borderId="10" xfId="0" applyNumberFormat="1" applyFont="1" applyFill="1" applyBorder="1" applyAlignment="1">
      <alignment horizontal="center" vertical="center"/>
    </xf>
    <xf numFmtId="0" fontId="19" fillId="0" borderId="10" xfId="0" applyFont="1" applyBorder="1" applyAlignment="1">
      <alignment horizontal="center" vertical="center"/>
    </xf>
    <xf numFmtId="1" fontId="19" fillId="0" borderId="10" xfId="0" applyNumberFormat="1" applyFont="1" applyBorder="1" applyAlignment="1">
      <alignment horizontal="center" vertical="center"/>
    </xf>
    <xf numFmtId="166" fontId="19" fillId="0" borderId="10" xfId="1" applyNumberFormat="1" applyFont="1" applyBorder="1" applyAlignment="1">
      <alignment horizontal="center" vertical="center"/>
    </xf>
    <xf numFmtId="166" fontId="5" fillId="0" borderId="0" xfId="0" applyNumberFormat="1" applyFont="1"/>
    <xf numFmtId="1" fontId="19" fillId="0" borderId="0" xfId="0" applyNumberFormat="1" applyFont="1" applyAlignment="1">
      <alignment horizontal="center" wrapText="1"/>
    </xf>
    <xf numFmtId="0" fontId="21" fillId="0" borderId="0" xfId="0" applyFont="1"/>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2" fontId="3" fillId="0" borderId="1" xfId="0" applyNumberFormat="1" applyFont="1" applyBorder="1" applyAlignment="1">
      <alignment horizontal="center" vertical="center"/>
    </xf>
    <xf numFmtId="2" fontId="3" fillId="3" borderId="1" xfId="0" applyNumberFormat="1" applyFont="1" applyFill="1" applyBorder="1" applyAlignment="1">
      <alignment horizontal="center" vertical="center"/>
    </xf>
    <xf numFmtId="0" fontId="3" fillId="0" borderId="1" xfId="0" applyFont="1" applyBorder="1" applyAlignment="1">
      <alignment horizontal="center" vertical="center"/>
    </xf>
    <xf numFmtId="166" fontId="3" fillId="0" borderId="1" xfId="1" applyNumberFormat="1" applyFont="1" applyFill="1" applyBorder="1" applyAlignment="1">
      <alignment horizontal="center" vertical="center"/>
    </xf>
    <xf numFmtId="166" fontId="3" fillId="0" borderId="1" xfId="1" applyNumberFormat="1" applyFont="1" applyBorder="1" applyAlignment="1">
      <alignment horizontal="center" vertical="center"/>
    </xf>
    <xf numFmtId="0" fontId="0" fillId="0" borderId="1" xfId="0" applyBorder="1"/>
    <xf numFmtId="166" fontId="15" fillId="0" borderId="0" xfId="0" applyNumberFormat="1" applyFont="1"/>
    <xf numFmtId="164" fontId="3" fillId="3" borderId="10" xfId="1" applyFont="1" applyFill="1" applyBorder="1" applyAlignment="1">
      <alignment horizontal="center" vertical="center"/>
    </xf>
    <xf numFmtId="0" fontId="25" fillId="0" borderId="0" xfId="0" applyFont="1"/>
    <xf numFmtId="0" fontId="25" fillId="0" borderId="0" xfId="0" applyFont="1" applyAlignment="1">
      <alignment wrapText="1"/>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4" fillId="9" borderId="1" xfId="0" applyFont="1" applyFill="1" applyBorder="1" applyAlignment="1">
      <alignment wrapText="1"/>
    </xf>
    <xf numFmtId="0" fontId="3" fillId="3" borderId="9" xfId="0" applyFont="1" applyFill="1" applyBorder="1" applyAlignment="1">
      <alignment horizontal="center" vertical="center" wrapText="1"/>
    </xf>
    <xf numFmtId="2" fontId="3" fillId="3" borderId="9" xfId="0" applyNumberFormat="1" applyFont="1" applyFill="1" applyBorder="1" applyAlignment="1">
      <alignment horizontal="center" vertical="center" wrapText="1"/>
    </xf>
    <xf numFmtId="0" fontId="3" fillId="0" borderId="10" xfId="0" applyFont="1" applyBorder="1" applyAlignment="1">
      <alignment wrapText="1"/>
    </xf>
    <xf numFmtId="0" fontId="16" fillId="0" borderId="0" xfId="3" applyFont="1" applyAlignment="1">
      <alignment horizontal="left" vertical="center" wrapText="1"/>
    </xf>
    <xf numFmtId="0" fontId="3" fillId="3" borderId="0" xfId="3" applyFont="1" applyFill="1"/>
    <xf numFmtId="0" fontId="3" fillId="3" borderId="0" xfId="3" applyFont="1" applyFill="1" applyAlignment="1">
      <alignment horizontal="right"/>
    </xf>
    <xf numFmtId="0" fontId="3" fillId="3" borderId="1" xfId="3" applyFont="1" applyFill="1" applyBorder="1" applyAlignment="1">
      <alignment horizontal="center" vertical="center" wrapText="1"/>
    </xf>
    <xf numFmtId="0" fontId="3" fillId="3" borderId="0" xfId="3" applyFont="1" applyFill="1" applyAlignment="1">
      <alignment vertical="center" wrapText="1"/>
    </xf>
    <xf numFmtId="0" fontId="3" fillId="3" borderId="35" xfId="3" applyFont="1" applyFill="1" applyBorder="1" applyAlignment="1">
      <alignment horizontal="center" vertical="center"/>
    </xf>
    <xf numFmtId="0" fontId="13" fillId="3" borderId="35" xfId="3" applyFont="1" applyFill="1" applyBorder="1" applyAlignment="1" applyProtection="1">
      <alignment horizontal="center" vertical="center" wrapText="1"/>
      <protection locked="0"/>
    </xf>
    <xf numFmtId="2" fontId="13" fillId="3" borderId="35" xfId="3" applyNumberFormat="1" applyFont="1" applyFill="1" applyBorder="1" applyAlignment="1" applyProtection="1">
      <alignment horizontal="center" vertical="center" wrapText="1"/>
      <protection locked="0"/>
    </xf>
    <xf numFmtId="2" fontId="13" fillId="3" borderId="35" xfId="3" applyNumberFormat="1" applyFont="1" applyFill="1" applyBorder="1" applyAlignment="1">
      <alignment horizontal="center" vertical="center"/>
    </xf>
    <xf numFmtId="2" fontId="14" fillId="6" borderId="35" xfId="3" applyNumberFormat="1" applyFont="1" applyFill="1" applyBorder="1" applyAlignment="1">
      <alignment horizontal="center" vertical="center"/>
    </xf>
    <xf numFmtId="2" fontId="3" fillId="3" borderId="35" xfId="3" applyNumberFormat="1" applyFont="1" applyFill="1" applyBorder="1" applyAlignment="1">
      <alignment horizontal="center" vertical="center"/>
    </xf>
    <xf numFmtId="0" fontId="3" fillId="3" borderId="0" xfId="3" applyFont="1" applyFill="1" applyAlignment="1">
      <alignment horizontal="left"/>
    </xf>
    <xf numFmtId="2" fontId="14" fillId="0" borderId="1" xfId="2" applyNumberFormat="1" applyFont="1" applyBorder="1" applyAlignment="1">
      <alignment horizontal="center" vertical="center" wrapText="1"/>
    </xf>
    <xf numFmtId="2" fontId="14" fillId="0" borderId="1" xfId="4" applyNumberFormat="1" applyFont="1" applyBorder="1" applyAlignment="1">
      <alignment horizontal="center" vertical="center"/>
    </xf>
    <xf numFmtId="0" fontId="14" fillId="0" borderId="1" xfId="2" applyFont="1" applyBorder="1" applyAlignment="1">
      <alignment horizontal="center" vertical="center" wrapText="1"/>
    </xf>
    <xf numFmtId="0" fontId="15" fillId="4" borderId="1" xfId="3" applyFont="1" applyFill="1" applyBorder="1" applyAlignment="1">
      <alignment horizontal="center" vertical="center" wrapText="1"/>
    </xf>
    <xf numFmtId="0" fontId="14" fillId="4" borderId="1" xfId="3" applyFont="1" applyFill="1" applyBorder="1" applyAlignment="1">
      <alignment horizontal="left" vertical="center" wrapText="1"/>
    </xf>
    <xf numFmtId="0" fontId="16" fillId="4" borderId="1" xfId="3" applyFont="1" applyFill="1" applyBorder="1" applyAlignment="1">
      <alignment horizontal="left" vertical="center" wrapText="1"/>
    </xf>
    <xf numFmtId="0" fontId="3" fillId="11" borderId="35" xfId="3" applyFont="1" applyFill="1" applyBorder="1" applyAlignment="1">
      <alignment horizontal="center" vertical="center" wrapText="1"/>
    </xf>
    <xf numFmtId="0" fontId="3" fillId="11" borderId="35" xfId="3" applyFont="1" applyFill="1" applyBorder="1"/>
    <xf numFmtId="0" fontId="3" fillId="11" borderId="35" xfId="3" applyFont="1" applyFill="1" applyBorder="1" applyAlignment="1">
      <alignment horizontal="center"/>
    </xf>
    <xf numFmtId="0" fontId="3" fillId="11" borderId="35" xfId="5" applyFont="1" applyFill="1" applyBorder="1" applyAlignment="1">
      <alignment horizontal="center" vertical="center" wrapText="1"/>
    </xf>
    <xf numFmtId="0" fontId="3" fillId="11" borderId="35" xfId="3" applyFont="1" applyFill="1" applyBorder="1" applyAlignment="1">
      <alignment horizontal="center" wrapText="1"/>
    </xf>
    <xf numFmtId="0" fontId="3" fillId="11" borderId="1" xfId="2" applyFont="1" applyFill="1" applyBorder="1" applyAlignment="1">
      <alignment horizontal="center" vertical="center" wrapText="1"/>
    </xf>
    <xf numFmtId="0" fontId="3" fillId="11" borderId="1" xfId="2" applyFont="1" applyFill="1" applyBorder="1" applyAlignment="1">
      <alignment horizontal="center" vertical="center"/>
    </xf>
    <xf numFmtId="0" fontId="13" fillId="11" borderId="1" xfId="2" applyFont="1" applyFill="1" applyBorder="1" applyAlignment="1">
      <alignment horizontal="center" vertical="center" wrapText="1"/>
    </xf>
    <xf numFmtId="0" fontId="3" fillId="0" borderId="20" xfId="0" applyFont="1" applyBorder="1" applyAlignment="1">
      <alignment wrapText="1"/>
    </xf>
    <xf numFmtId="0" fontId="3" fillId="0" borderId="0" xfId="0" applyFont="1"/>
    <xf numFmtId="0" fontId="3" fillId="0" borderId="2" xfId="0" applyFont="1" applyBorder="1" applyAlignment="1">
      <alignment wrapText="1"/>
    </xf>
    <xf numFmtId="0" fontId="3" fillId="0" borderId="0" xfId="0" applyFont="1" applyAlignment="1">
      <alignment horizontal="right" wrapText="1"/>
    </xf>
    <xf numFmtId="0" fontId="14" fillId="0" borderId="4" xfId="0" applyFont="1" applyBorder="1" applyAlignment="1">
      <alignment wrapText="1"/>
    </xf>
    <xf numFmtId="0" fontId="14" fillId="0" borderId="13" xfId="0" applyFont="1" applyBorder="1" applyAlignment="1">
      <alignment wrapText="1"/>
    </xf>
    <xf numFmtId="0" fontId="3" fillId="0" borderId="13" xfId="0" applyFont="1" applyBorder="1" applyAlignment="1">
      <alignment wrapText="1"/>
    </xf>
    <xf numFmtId="0" fontId="3" fillId="0" borderId="0" xfId="0" applyFont="1" applyAlignment="1">
      <alignment wrapText="1"/>
    </xf>
    <xf numFmtId="0" fontId="13" fillId="0" borderId="4" xfId="0" applyFont="1" applyBorder="1" applyAlignment="1">
      <alignment wrapText="1"/>
    </xf>
    <xf numFmtId="0" fontId="13" fillId="0" borderId="0" xfId="0" applyFont="1" applyAlignment="1">
      <alignment wrapText="1"/>
    </xf>
    <xf numFmtId="0" fontId="3" fillId="4" borderId="9" xfId="0" applyFont="1" applyFill="1" applyBorder="1" applyAlignment="1">
      <alignment wrapText="1"/>
    </xf>
    <xf numFmtId="0" fontId="3" fillId="4" borderId="13" xfId="0" applyFont="1" applyFill="1" applyBorder="1" applyAlignment="1">
      <alignment wrapText="1"/>
    </xf>
    <xf numFmtId="0" fontId="3" fillId="3" borderId="4" xfId="0" applyFont="1" applyFill="1" applyBorder="1" applyAlignment="1">
      <alignment wrapText="1"/>
    </xf>
    <xf numFmtId="0" fontId="3" fillId="3" borderId="13" xfId="0" applyFont="1" applyFill="1" applyBorder="1" applyAlignment="1">
      <alignment wrapText="1"/>
    </xf>
    <xf numFmtId="0" fontId="2" fillId="0" borderId="0" xfId="0" applyFont="1"/>
    <xf numFmtId="0" fontId="3" fillId="3" borderId="1" xfId="0" applyFont="1" applyFill="1" applyBorder="1" applyAlignment="1">
      <alignment horizontal="center" wrapText="1"/>
    </xf>
    <xf numFmtId="0" fontId="3" fillId="3" borderId="2" xfId="0" applyFont="1" applyFill="1" applyBorder="1" applyAlignment="1">
      <alignment horizontal="center" wrapText="1"/>
    </xf>
    <xf numFmtId="0" fontId="14" fillId="0" borderId="4" xfId="0" applyFont="1" applyBorder="1" applyAlignment="1">
      <alignment horizontal="center" wrapText="1"/>
    </xf>
    <xf numFmtId="0" fontId="14" fillId="0" borderId="13" xfId="0" applyFont="1" applyBorder="1" applyAlignment="1">
      <alignment horizontal="center" wrapText="1"/>
    </xf>
    <xf numFmtId="0" fontId="3" fillId="3" borderId="13" xfId="0" applyFont="1" applyFill="1" applyBorder="1" applyAlignment="1">
      <alignment horizontal="center" wrapText="1"/>
    </xf>
    <xf numFmtId="167" fontId="13" fillId="0" borderId="4" xfId="0" applyNumberFormat="1" applyFont="1" applyBorder="1" applyAlignment="1">
      <alignment horizontal="center" wrapText="1"/>
    </xf>
    <xf numFmtId="0" fontId="3" fillId="0" borderId="0" xfId="0" applyFont="1" applyAlignment="1">
      <alignment horizontal="center" vertical="center"/>
    </xf>
    <xf numFmtId="0" fontId="3" fillId="4" borderId="9"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9" xfId="0" applyFont="1" applyFill="1" applyBorder="1" applyAlignment="1">
      <alignment horizontal="center" vertical="center" wrapText="1"/>
    </xf>
    <xf numFmtId="2" fontId="2" fillId="6" borderId="9" xfId="0" applyNumberFormat="1" applyFont="1" applyFill="1" applyBorder="1" applyAlignment="1">
      <alignment horizontal="center" vertical="center"/>
    </xf>
    <xf numFmtId="0" fontId="13" fillId="2" borderId="8"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3" fillId="0" borderId="2" xfId="0" applyFont="1" applyBorder="1" applyAlignment="1">
      <alignment horizontal="center" vertical="center"/>
    </xf>
    <xf numFmtId="1" fontId="3" fillId="0" borderId="2" xfId="0" applyNumberFormat="1" applyFont="1" applyBorder="1" applyAlignment="1">
      <alignment horizontal="center" vertical="center"/>
    </xf>
    <xf numFmtId="166" fontId="3" fillId="0" borderId="2" xfId="1" applyNumberFormat="1" applyFont="1" applyBorder="1" applyAlignment="1">
      <alignment horizontal="center" vertical="center"/>
    </xf>
    <xf numFmtId="1" fontId="13" fillId="0" borderId="0" xfId="0" applyNumberFormat="1" applyFont="1" applyAlignment="1">
      <alignment wrapText="1"/>
    </xf>
    <xf numFmtId="0" fontId="13" fillId="0" borderId="0" xfId="0" applyFont="1"/>
    <xf numFmtId="0" fontId="3" fillId="2" borderId="10" xfId="0" applyFont="1" applyFill="1" applyBorder="1" applyAlignment="1">
      <alignment horizontal="center" vertical="center" wrapText="1"/>
    </xf>
    <xf numFmtId="0" fontId="5" fillId="0" borderId="20" xfId="0" applyFont="1" applyBorder="1" applyAlignment="1">
      <alignment wrapText="1"/>
    </xf>
    <xf numFmtId="0" fontId="15" fillId="4" borderId="1" xfId="0" applyFont="1" applyFill="1" applyBorder="1"/>
    <xf numFmtId="0" fontId="15" fillId="4" borderId="1" xfId="0" applyFont="1" applyFill="1" applyBorder="1" applyAlignment="1">
      <alignment horizontal="center" vertical="center"/>
    </xf>
    <xf numFmtId="0" fontId="15" fillId="4" borderId="1" xfId="0" applyFont="1" applyFill="1" applyBorder="1" applyAlignment="1">
      <alignment horizontal="center" vertical="center" wrapText="1"/>
    </xf>
    <xf numFmtId="0" fontId="15" fillId="0" borderId="1" xfId="0" applyFont="1" applyBorder="1"/>
    <xf numFmtId="0" fontId="15" fillId="0" borderId="1" xfId="0" applyFont="1" applyBorder="1" applyAlignment="1">
      <alignment horizontal="center" vertical="center"/>
    </xf>
    <xf numFmtId="166" fontId="15" fillId="0" borderId="1" xfId="1" applyNumberFormat="1" applyFont="1" applyBorder="1" applyAlignment="1">
      <alignment horizontal="center" vertical="center"/>
    </xf>
    <xf numFmtId="168" fontId="15" fillId="0" borderId="1" xfId="0" applyNumberFormat="1" applyFont="1" applyBorder="1" applyAlignment="1">
      <alignment horizontal="center" vertical="center"/>
    </xf>
    <xf numFmtId="168" fontId="15" fillId="0" borderId="1" xfId="0" applyNumberFormat="1" applyFont="1" applyBorder="1"/>
    <xf numFmtId="0" fontId="15" fillId="0" borderId="1" xfId="0" applyFont="1" applyBorder="1" applyAlignment="1">
      <alignment horizontal="left" wrapText="1"/>
    </xf>
    <xf numFmtId="2" fontId="15" fillId="0" borderId="1" xfId="0" applyNumberFormat="1" applyFont="1" applyBorder="1" applyAlignment="1">
      <alignment horizontal="center"/>
    </xf>
    <xf numFmtId="0" fontId="15" fillId="0" borderId="1" xfId="0" applyFont="1" applyBorder="1" applyAlignment="1">
      <alignment wrapText="1"/>
    </xf>
    <xf numFmtId="2" fontId="15" fillId="0" borderId="1" xfId="0" applyNumberFormat="1" applyFont="1" applyBorder="1" applyAlignment="1">
      <alignment horizontal="center" vertical="center"/>
    </xf>
    <xf numFmtId="0" fontId="15" fillId="0" borderId="0" xfId="0" applyFont="1" applyAlignment="1">
      <alignment horizontal="center"/>
    </xf>
    <xf numFmtId="0" fontId="15" fillId="0" borderId="0" xfId="0" applyFont="1" applyAlignment="1">
      <alignment horizontal="left"/>
    </xf>
    <xf numFmtId="166" fontId="15" fillId="0" borderId="1" xfId="1" applyNumberFormat="1" applyFont="1" applyBorder="1"/>
    <xf numFmtId="0" fontId="16" fillId="4" borderId="1" xfId="0" applyFont="1" applyFill="1" applyBorder="1" applyAlignment="1">
      <alignment horizontal="center"/>
    </xf>
    <xf numFmtId="0" fontId="16" fillId="4" borderId="1" xfId="0" applyFont="1" applyFill="1" applyBorder="1" applyAlignment="1">
      <alignment horizontal="left"/>
    </xf>
    <xf numFmtId="0" fontId="16" fillId="4" borderId="1" xfId="0" applyFont="1" applyFill="1" applyBorder="1"/>
    <xf numFmtId="0" fontId="15" fillId="0" borderId="1" xfId="0" applyFont="1" applyBorder="1" applyAlignment="1">
      <alignment horizontal="center"/>
    </xf>
    <xf numFmtId="0" fontId="31" fillId="0" borderId="0" xfId="0" applyFont="1"/>
    <xf numFmtId="0" fontId="31" fillId="0" borderId="0" xfId="3" applyFont="1" applyAlignment="1">
      <alignment horizontal="left"/>
    </xf>
    <xf numFmtId="0" fontId="35" fillId="0" borderId="0" xfId="0" applyFont="1"/>
    <xf numFmtId="0" fontId="31" fillId="8" borderId="0" xfId="3" applyFont="1" applyFill="1"/>
    <xf numFmtId="0" fontId="31" fillId="8" borderId="1" xfId="3" applyFont="1" applyFill="1" applyBorder="1" applyAlignment="1">
      <alignment horizontal="center" vertical="center" wrapText="1"/>
    </xf>
    <xf numFmtId="0" fontId="31" fillId="8" borderId="0" xfId="3" applyFont="1" applyFill="1" applyAlignment="1">
      <alignment vertical="center" wrapText="1"/>
    </xf>
    <xf numFmtId="0" fontId="31" fillId="8" borderId="0" xfId="3" applyFont="1" applyFill="1" applyAlignment="1">
      <alignment horizontal="right"/>
    </xf>
    <xf numFmtId="1" fontId="36" fillId="0" borderId="1" xfId="4" applyNumberFormat="1" applyFont="1" applyBorder="1" applyAlignment="1" applyProtection="1">
      <alignment horizontal="center" wrapText="1"/>
      <protection locked="0"/>
    </xf>
    <xf numFmtId="0" fontId="31" fillId="8" borderId="1" xfId="3" applyFont="1" applyFill="1" applyBorder="1" applyAlignment="1">
      <alignment horizontal="center" vertical="center"/>
    </xf>
    <xf numFmtId="2" fontId="42" fillId="0" borderId="1" xfId="4" applyNumberFormat="1" applyFont="1" applyBorder="1" applyAlignment="1" applyProtection="1">
      <alignment horizontal="center" wrapText="1"/>
      <protection locked="0"/>
    </xf>
    <xf numFmtId="2" fontId="31" fillId="8" borderId="1" xfId="3" applyNumberFormat="1" applyFont="1" applyFill="1" applyBorder="1" applyAlignment="1">
      <alignment horizontal="center" vertical="center" wrapText="1"/>
    </xf>
    <xf numFmtId="0" fontId="31" fillId="4" borderId="1" xfId="3" applyFont="1" applyFill="1" applyBorder="1" applyAlignment="1">
      <alignment horizontal="center" vertical="center" wrapText="1"/>
    </xf>
    <xf numFmtId="0" fontId="31" fillId="4" borderId="1" xfId="5" applyFont="1" applyFill="1" applyBorder="1" applyAlignment="1">
      <alignment horizontal="center" vertical="center" wrapText="1"/>
    </xf>
    <xf numFmtId="49" fontId="42" fillId="0" borderId="1" xfId="4" applyNumberFormat="1" applyFont="1" applyBorder="1" applyAlignment="1">
      <alignment horizontal="center" vertical="center" wrapText="1"/>
    </xf>
    <xf numFmtId="49" fontId="42" fillId="0" borderId="1" xfId="4" applyNumberFormat="1" applyFont="1" applyBorder="1" applyAlignment="1">
      <alignment horizontal="left" vertical="center" wrapText="1"/>
    </xf>
    <xf numFmtId="0" fontId="42" fillId="0" borderId="1" xfId="3" applyFont="1" applyBorder="1" applyAlignment="1" applyProtection="1">
      <alignment horizontal="center" vertical="center" wrapText="1"/>
      <protection locked="0"/>
    </xf>
    <xf numFmtId="2" fontId="42" fillId="0" borderId="1" xfId="3" applyNumberFormat="1" applyFont="1" applyBorder="1" applyAlignment="1" applyProtection="1">
      <alignment horizontal="center" vertical="center" wrapText="1"/>
      <protection locked="0"/>
    </xf>
    <xf numFmtId="2" fontId="31" fillId="0" borderId="1" xfId="3" applyNumberFormat="1" applyFont="1" applyBorder="1" applyAlignment="1">
      <alignment horizontal="center" vertical="center"/>
    </xf>
    <xf numFmtId="2" fontId="35" fillId="0" borderId="1" xfId="3" applyNumberFormat="1" applyFont="1" applyBorder="1" applyAlignment="1">
      <alignment horizontal="center" vertical="center"/>
    </xf>
    <xf numFmtId="2" fontId="36" fillId="0" borderId="1" xfId="3" applyNumberFormat="1" applyFont="1" applyBorder="1" applyAlignment="1">
      <alignment horizontal="center" vertical="center"/>
    </xf>
    <xf numFmtId="0" fontId="31" fillId="0" borderId="1" xfId="3" applyFont="1" applyBorder="1" applyAlignment="1">
      <alignment horizontal="center" vertical="center"/>
    </xf>
    <xf numFmtId="2" fontId="42" fillId="0" borderId="1" xfId="3" applyNumberFormat="1" applyFont="1" applyBorder="1" applyAlignment="1">
      <alignment horizontal="center" vertical="center"/>
    </xf>
    <xf numFmtId="0" fontId="31" fillId="0" borderId="1" xfId="0" applyFont="1" applyBorder="1" applyAlignment="1">
      <alignment horizontal="center" vertical="center"/>
    </xf>
    <xf numFmtId="0" fontId="31" fillId="0" borderId="1" xfId="0" applyFont="1" applyBorder="1" applyAlignment="1">
      <alignment horizontal="center" vertical="center" wrapText="1"/>
    </xf>
    <xf numFmtId="49" fontId="13" fillId="4" borderId="10" xfId="0" applyNumberFormat="1" applyFont="1" applyFill="1" applyBorder="1" applyAlignment="1">
      <alignment horizontal="center" vertical="center" wrapText="1"/>
    </xf>
    <xf numFmtId="0" fontId="13" fillId="0" borderId="1" xfId="0" applyFont="1" applyBorder="1" applyAlignment="1">
      <alignment wrapText="1"/>
    </xf>
    <xf numFmtId="2" fontId="13" fillId="3" borderId="2" xfId="0" applyNumberFormat="1" applyFont="1" applyFill="1" applyBorder="1" applyAlignment="1">
      <alignment horizontal="center" vertical="center"/>
    </xf>
    <xf numFmtId="164" fontId="13" fillId="3" borderId="10" xfId="1" applyFont="1" applyFill="1" applyBorder="1" applyAlignment="1">
      <alignment horizontal="center" vertical="center"/>
    </xf>
    <xf numFmtId="2" fontId="13" fillId="3" borderId="10" xfId="0" applyNumberFormat="1" applyFont="1" applyFill="1" applyBorder="1" applyAlignment="1">
      <alignment horizontal="center" vertical="center"/>
    </xf>
    <xf numFmtId="1" fontId="13" fillId="0" borderId="10" xfId="0" applyNumberFormat="1" applyFont="1" applyBorder="1" applyAlignment="1">
      <alignment horizontal="center" vertical="center"/>
    </xf>
    <xf numFmtId="49" fontId="13" fillId="4" borderId="19" xfId="0" applyNumberFormat="1" applyFont="1" applyFill="1" applyBorder="1" applyAlignment="1">
      <alignment horizontal="center" vertical="center" wrapText="1"/>
    </xf>
    <xf numFmtId="0" fontId="13" fillId="0" borderId="3" xfId="0" applyFont="1" applyBorder="1" applyAlignment="1">
      <alignment wrapText="1"/>
    </xf>
    <xf numFmtId="2" fontId="13" fillId="3" borderId="12" xfId="0" applyNumberFormat="1" applyFont="1" applyFill="1" applyBorder="1" applyAlignment="1">
      <alignment horizontal="center" vertical="center"/>
    </xf>
    <xf numFmtId="164" fontId="13" fillId="3" borderId="19" xfId="1" applyFont="1" applyFill="1" applyBorder="1" applyAlignment="1">
      <alignment horizontal="center" vertical="center"/>
    </xf>
    <xf numFmtId="0" fontId="40" fillId="4" borderId="1" xfId="0" applyFont="1" applyFill="1" applyBorder="1" applyAlignment="1">
      <alignment horizontal="center" vertical="center"/>
    </xf>
    <xf numFmtId="0" fontId="40" fillId="0" borderId="1" xfId="0" applyFont="1" applyBorder="1" applyAlignment="1">
      <alignment vertical="center" wrapText="1"/>
    </xf>
    <xf numFmtId="4" fontId="40" fillId="0" borderId="1" xfId="0" applyNumberFormat="1" applyFont="1" applyBorder="1" applyAlignment="1">
      <alignment horizontal="center" vertical="center"/>
    </xf>
    <xf numFmtId="2" fontId="40" fillId="3" borderId="1" xfId="0" applyNumberFormat="1" applyFont="1" applyFill="1" applyBorder="1" applyAlignment="1">
      <alignment horizontal="center" vertical="center"/>
    </xf>
    <xf numFmtId="2" fontId="13" fillId="3" borderId="21" xfId="0" applyNumberFormat="1" applyFont="1" applyFill="1" applyBorder="1" applyAlignment="1">
      <alignment horizontal="center" vertical="center"/>
    </xf>
    <xf numFmtId="0" fontId="47" fillId="13" borderId="0" xfId="0" applyFont="1" applyFill="1"/>
    <xf numFmtId="0" fontId="47" fillId="13" borderId="0" xfId="0" applyFont="1" applyFill="1" applyAlignment="1">
      <alignment wrapText="1"/>
    </xf>
    <xf numFmtId="0" fontId="48" fillId="14" borderId="1" xfId="0" applyFont="1" applyFill="1" applyBorder="1"/>
    <xf numFmtId="0" fontId="49" fillId="14" borderId="1" xfId="0" applyFont="1" applyFill="1" applyBorder="1" applyAlignment="1">
      <alignment wrapText="1"/>
    </xf>
    <xf numFmtId="0" fontId="48" fillId="14" borderId="1" xfId="0" applyFont="1" applyFill="1" applyBorder="1" applyAlignment="1">
      <alignment wrapText="1"/>
    </xf>
    <xf numFmtId="3" fontId="51" fillId="14" borderId="1" xfId="0" applyNumberFormat="1" applyFont="1" applyFill="1" applyBorder="1" applyAlignment="1">
      <alignment wrapText="1"/>
    </xf>
    <xf numFmtId="0" fontId="51" fillId="14" borderId="1" xfId="0" applyFont="1" applyFill="1" applyBorder="1" applyAlignment="1">
      <alignment wrapText="1"/>
    </xf>
    <xf numFmtId="0" fontId="48" fillId="14" borderId="0" xfId="0" applyFont="1" applyFill="1" applyAlignment="1">
      <alignment wrapText="1"/>
    </xf>
    <xf numFmtId="0" fontId="48" fillId="0" borderId="1" xfId="0" applyFont="1" applyBorder="1"/>
    <xf numFmtId="0" fontId="48" fillId="0" borderId="1" xfId="0" applyFont="1" applyBorder="1" applyAlignment="1">
      <alignment wrapText="1"/>
    </xf>
    <xf numFmtId="3" fontId="51" fillId="3" borderId="1" xfId="0" applyNumberFormat="1" applyFont="1" applyFill="1" applyBorder="1" applyAlignment="1">
      <alignment wrapText="1"/>
    </xf>
    <xf numFmtId="0" fontId="51" fillId="3" borderId="1" xfId="0" applyFont="1" applyFill="1" applyBorder="1" applyAlignment="1">
      <alignment wrapText="1"/>
    </xf>
    <xf numFmtId="0" fontId="48" fillId="0" borderId="0" xfId="0" applyFont="1" applyAlignment="1">
      <alignment wrapText="1"/>
    </xf>
    <xf numFmtId="0" fontId="52" fillId="0" borderId="0" xfId="0" applyFont="1"/>
    <xf numFmtId="0" fontId="52" fillId="0" borderId="0" xfId="0" applyFont="1" applyAlignment="1">
      <alignment wrapText="1"/>
    </xf>
    <xf numFmtId="0" fontId="48" fillId="0" borderId="0" xfId="0" applyFont="1" applyAlignment="1">
      <alignment horizontal="left" vertical="center"/>
    </xf>
    <xf numFmtId="0" fontId="45" fillId="0" borderId="0" xfId="7" applyAlignment="1">
      <alignment horizontal="left" vertical="center"/>
    </xf>
    <xf numFmtId="2" fontId="3" fillId="3" borderId="13" xfId="0" applyNumberFormat="1" applyFont="1" applyFill="1" applyBorder="1" applyAlignment="1">
      <alignment wrapText="1"/>
    </xf>
    <xf numFmtId="0" fontId="3" fillId="0" borderId="9" xfId="0" applyFont="1" applyBorder="1" applyAlignment="1">
      <alignment wrapText="1"/>
    </xf>
    <xf numFmtId="0" fontId="13" fillId="0" borderId="15" xfId="0" applyFont="1" applyBorder="1" applyAlignment="1">
      <alignment wrapText="1"/>
    </xf>
    <xf numFmtId="0" fontId="13" fillId="0" borderId="24" xfId="0" applyFont="1" applyBorder="1" applyAlignment="1">
      <alignment wrapText="1"/>
    </xf>
    <xf numFmtId="0" fontId="13" fillId="3" borderId="24" xfId="0" applyFont="1" applyFill="1" applyBorder="1" applyAlignment="1">
      <alignment wrapText="1"/>
    </xf>
    <xf numFmtId="0" fontId="3" fillId="3" borderId="24" xfId="0" applyFont="1" applyFill="1" applyBorder="1"/>
    <xf numFmtId="0" fontId="13" fillId="0" borderId="1" xfId="0" applyFont="1" applyBorder="1"/>
    <xf numFmtId="0" fontId="13" fillId="0" borderId="2" xfId="0" applyFont="1" applyBorder="1"/>
    <xf numFmtId="0" fontId="13" fillId="3" borderId="0" xfId="0" applyFont="1" applyFill="1" applyAlignment="1">
      <alignment wrapText="1"/>
    </xf>
    <xf numFmtId="0" fontId="3" fillId="3" borderId="1" xfId="0" applyFont="1" applyFill="1" applyBorder="1" applyAlignment="1">
      <alignment wrapText="1"/>
    </xf>
    <xf numFmtId="0" fontId="8" fillId="3" borderId="1" xfId="0" applyFont="1" applyFill="1" applyBorder="1" applyAlignment="1">
      <alignment wrapText="1"/>
    </xf>
    <xf numFmtId="2" fontId="3" fillId="3" borderId="1" xfId="0" applyNumberFormat="1" applyFont="1" applyFill="1" applyBorder="1" applyAlignment="1">
      <alignment wrapText="1"/>
    </xf>
    <xf numFmtId="0" fontId="13" fillId="3" borderId="1" xfId="0" applyFont="1" applyFill="1" applyBorder="1" applyAlignment="1">
      <alignment wrapText="1"/>
    </xf>
    <xf numFmtId="166" fontId="2" fillId="15" borderId="13" xfId="1" applyNumberFormat="1" applyFont="1" applyFill="1" applyBorder="1" applyAlignment="1">
      <alignment wrapText="1"/>
    </xf>
    <xf numFmtId="0" fontId="3" fillId="0" borderId="42" xfId="0" applyFont="1" applyBorder="1" applyAlignment="1">
      <alignment wrapText="1"/>
    </xf>
    <xf numFmtId="0" fontId="3" fillId="4" borderId="24" xfId="0" applyFont="1" applyFill="1" applyBorder="1" applyAlignment="1">
      <alignment wrapText="1"/>
    </xf>
    <xf numFmtId="2" fontId="13" fillId="3" borderId="1" xfId="0" applyNumberFormat="1" applyFont="1" applyFill="1" applyBorder="1" applyAlignment="1">
      <alignment wrapText="1"/>
    </xf>
    <xf numFmtId="2" fontId="2" fillId="0" borderId="1" xfId="0" applyNumberFormat="1" applyFont="1" applyBorder="1"/>
    <xf numFmtId="2" fontId="2" fillId="0" borderId="1" xfId="0" applyNumberFormat="1" applyFont="1" applyBorder="1" applyAlignment="1">
      <alignment wrapText="1"/>
    </xf>
    <xf numFmtId="0" fontId="13" fillId="0" borderId="2" xfId="0" applyFont="1" applyBorder="1" applyAlignment="1">
      <alignment wrapText="1"/>
    </xf>
    <xf numFmtId="2" fontId="13" fillId="3" borderId="31" xfId="0" applyNumberFormat="1" applyFont="1" applyFill="1" applyBorder="1" applyAlignment="1">
      <alignment wrapText="1"/>
    </xf>
    <xf numFmtId="0" fontId="3" fillId="0" borderId="24" xfId="0" applyFont="1" applyBorder="1" applyAlignment="1">
      <alignment wrapText="1"/>
    </xf>
    <xf numFmtId="0" fontId="3" fillId="3" borderId="1" xfId="0" applyFont="1" applyFill="1" applyBorder="1"/>
    <xf numFmtId="2" fontId="13" fillId="0" borderId="1" xfId="0" applyNumberFormat="1" applyFont="1" applyBorder="1"/>
    <xf numFmtId="2" fontId="3" fillId="3" borderId="1" xfId="0" applyNumberFormat="1" applyFont="1" applyFill="1" applyBorder="1"/>
    <xf numFmtId="2" fontId="13" fillId="0" borderId="2" xfId="0" applyNumberFormat="1" applyFont="1" applyBorder="1"/>
    <xf numFmtId="0" fontId="19" fillId="0" borderId="4" xfId="0" applyFont="1" applyBorder="1" applyAlignment="1">
      <alignment vertical="center" wrapText="1"/>
    </xf>
    <xf numFmtId="3" fontId="15" fillId="0" borderId="1" xfId="0" applyNumberFormat="1" applyFont="1" applyBorder="1" applyAlignment="1">
      <alignment horizontal="center" vertical="center"/>
    </xf>
    <xf numFmtId="0" fontId="0" fillId="0" borderId="10" xfId="0" applyBorder="1"/>
    <xf numFmtId="0" fontId="29" fillId="2" borderId="2" xfId="0" applyFont="1" applyFill="1" applyBorder="1" applyAlignment="1">
      <alignment horizontal="center" vertical="center" wrapText="1"/>
    </xf>
    <xf numFmtId="166" fontId="29" fillId="3" borderId="2" xfId="1" applyNumberFormat="1" applyFont="1" applyFill="1" applyBorder="1" applyAlignment="1">
      <alignment horizontal="center" vertical="center"/>
    </xf>
    <xf numFmtId="0" fontId="5" fillId="0" borderId="0" xfId="0" applyFont="1" applyAlignment="1">
      <alignment horizontal="left" wrapText="1"/>
    </xf>
    <xf numFmtId="0" fontId="29" fillId="2" borderId="1" xfId="0" applyFont="1" applyFill="1" applyBorder="1" applyAlignment="1">
      <alignment horizontal="center" vertical="center" wrapText="1"/>
    </xf>
    <xf numFmtId="0" fontId="38" fillId="0" borderId="0" xfId="0" applyFont="1"/>
    <xf numFmtId="0" fontId="29" fillId="0" borderId="0" xfId="0" applyFont="1"/>
    <xf numFmtId="0" fontId="29" fillId="0" borderId="1" xfId="0" applyFont="1" applyBorder="1" applyAlignment="1">
      <alignment wrapText="1"/>
    </xf>
    <xf numFmtId="0" fontId="29" fillId="0" borderId="2" xfId="0" applyFont="1" applyBorder="1" applyAlignment="1">
      <alignment wrapText="1"/>
    </xf>
    <xf numFmtId="0" fontId="29" fillId="0" borderId="0" xfId="0" applyFont="1" applyAlignment="1">
      <alignment horizontal="right" wrapText="1"/>
    </xf>
    <xf numFmtId="0" fontId="53" fillId="0" borderId="4" xfId="0" applyFont="1" applyBorder="1" applyAlignment="1">
      <alignment wrapText="1"/>
    </xf>
    <xf numFmtId="0" fontId="53" fillId="0" borderId="13" xfId="0" applyFont="1" applyBorder="1" applyAlignment="1">
      <alignment wrapText="1"/>
    </xf>
    <xf numFmtId="0" fontId="29" fillId="0" borderId="13" xfId="0" applyFont="1" applyBorder="1" applyAlignment="1">
      <alignment wrapText="1"/>
    </xf>
    <xf numFmtId="0" fontId="40" fillId="0" borderId="4" xfId="0" applyFont="1" applyBorder="1" applyAlignment="1">
      <alignment wrapText="1"/>
    </xf>
    <xf numFmtId="165" fontId="0" fillId="0" borderId="0" xfId="0" applyNumberFormat="1"/>
    <xf numFmtId="0" fontId="15" fillId="0" borderId="0" xfId="0" applyFont="1" applyAlignment="1">
      <alignment vertical="center"/>
    </xf>
    <xf numFmtId="0" fontId="54" fillId="0" borderId="0" xfId="0" applyFont="1"/>
    <xf numFmtId="0" fontId="40" fillId="4" borderId="4" xfId="0" applyFont="1" applyFill="1" applyBorder="1" applyAlignment="1">
      <alignment horizontal="center" vertical="center"/>
    </xf>
    <xf numFmtId="0" fontId="40" fillId="0" borderId="4" xfId="0" applyFont="1" applyBorder="1" applyAlignment="1">
      <alignment vertical="center" wrapText="1"/>
    </xf>
    <xf numFmtId="4" fontId="40" fillId="0" borderId="4" xfId="0" applyNumberFormat="1" applyFont="1" applyBorder="1" applyAlignment="1">
      <alignment horizontal="center" vertical="center"/>
    </xf>
    <xf numFmtId="2" fontId="40" fillId="3" borderId="4" xfId="0" applyNumberFormat="1" applyFont="1" applyFill="1" applyBorder="1" applyAlignment="1">
      <alignment horizontal="center" vertical="center"/>
    </xf>
    <xf numFmtId="2" fontId="13" fillId="3" borderId="30" xfId="0" applyNumberFormat="1" applyFont="1" applyFill="1" applyBorder="1" applyAlignment="1">
      <alignment horizontal="center" vertical="center"/>
    </xf>
    <xf numFmtId="0" fontId="10" fillId="0" borderId="10" xfId="0" applyFont="1" applyBorder="1" applyAlignment="1">
      <alignment wrapText="1"/>
    </xf>
    <xf numFmtId="0" fontId="3" fillId="0" borderId="10" xfId="0" applyFont="1" applyBorder="1" applyAlignment="1">
      <alignment horizontal="center" wrapText="1"/>
    </xf>
    <xf numFmtId="1" fontId="13" fillId="0" borderId="10" xfId="0" applyNumberFormat="1" applyFont="1" applyBorder="1" applyAlignment="1">
      <alignment horizontal="center" wrapText="1"/>
    </xf>
    <xf numFmtId="166" fontId="14" fillId="4" borderId="10" xfId="1" applyNumberFormat="1" applyFont="1" applyFill="1" applyBorder="1" applyAlignment="1">
      <alignment horizontal="center" wrapText="1"/>
    </xf>
    <xf numFmtId="2" fontId="40" fillId="3" borderId="3" xfId="0" applyNumberFormat="1" applyFont="1" applyFill="1" applyBorder="1" applyAlignment="1">
      <alignment horizontal="center" vertical="center"/>
    </xf>
    <xf numFmtId="2" fontId="13" fillId="3" borderId="26" xfId="0" applyNumberFormat="1" applyFont="1" applyFill="1" applyBorder="1" applyAlignment="1">
      <alignment horizontal="center" vertical="center"/>
    </xf>
    <xf numFmtId="0" fontId="13" fillId="0" borderId="19" xfId="0" applyFont="1" applyBorder="1" applyAlignment="1">
      <alignment horizontal="center" vertical="center"/>
    </xf>
    <xf numFmtId="1" fontId="13" fillId="0" borderId="19" xfId="0" applyNumberFormat="1" applyFont="1" applyBorder="1" applyAlignment="1">
      <alignment horizontal="center" vertical="center"/>
    </xf>
    <xf numFmtId="0" fontId="0" fillId="0" borderId="0" xfId="0" applyAlignment="1">
      <alignment horizontal="left"/>
    </xf>
    <xf numFmtId="2" fontId="40" fillId="3" borderId="10" xfId="0" applyNumberFormat="1" applyFont="1" applyFill="1" applyBorder="1" applyAlignment="1">
      <alignment horizontal="center" vertical="center"/>
    </xf>
    <xf numFmtId="0" fontId="10" fillId="0" borderId="22" xfId="0" applyFont="1" applyBorder="1" applyAlignment="1">
      <alignment horizontal="center" wrapText="1"/>
    </xf>
    <xf numFmtId="0" fontId="10" fillId="0" borderId="22" xfId="0" applyFont="1" applyBorder="1" applyAlignment="1">
      <alignment wrapText="1"/>
    </xf>
    <xf numFmtId="2" fontId="10" fillId="0" borderId="22" xfId="0" applyNumberFormat="1" applyFont="1" applyBorder="1" applyAlignment="1">
      <alignment wrapText="1"/>
    </xf>
    <xf numFmtId="2" fontId="46" fillId="0" borderId="22" xfId="0" applyNumberFormat="1" applyFont="1" applyBorder="1" applyAlignment="1">
      <alignment wrapText="1"/>
    </xf>
    <xf numFmtId="49" fontId="40" fillId="4" borderId="32" xfId="0" applyNumberFormat="1" applyFont="1" applyFill="1" applyBorder="1" applyAlignment="1">
      <alignment horizontal="center" vertical="center" wrapText="1"/>
    </xf>
    <xf numFmtId="49" fontId="40" fillId="4" borderId="20" xfId="0" applyNumberFormat="1" applyFont="1" applyFill="1" applyBorder="1" applyAlignment="1">
      <alignment horizontal="center" vertical="center" wrapText="1"/>
    </xf>
    <xf numFmtId="0" fontId="13" fillId="0" borderId="21" xfId="0" applyFont="1" applyBorder="1" applyAlignment="1">
      <alignment horizontal="center" vertical="center"/>
    </xf>
    <xf numFmtId="0" fontId="13" fillId="0" borderId="30" xfId="0" applyFont="1" applyBorder="1" applyAlignment="1">
      <alignment horizontal="center" vertical="center"/>
    </xf>
    <xf numFmtId="0" fontId="13" fillId="0" borderId="26" xfId="0" applyFont="1" applyBorder="1" applyAlignment="1">
      <alignment horizontal="center" vertical="center"/>
    </xf>
    <xf numFmtId="0" fontId="16" fillId="4" borderId="10" xfId="0" applyFont="1" applyFill="1" applyBorder="1"/>
    <xf numFmtId="165" fontId="15" fillId="0" borderId="10" xfId="0" applyNumberFormat="1" applyFont="1" applyBorder="1"/>
    <xf numFmtId="166" fontId="3" fillId="0" borderId="1" xfId="1" applyNumberFormat="1" applyFont="1" applyFill="1" applyBorder="1" applyAlignment="1">
      <alignment horizontal="center" vertical="center" wrapText="1"/>
    </xf>
    <xf numFmtId="0" fontId="32" fillId="0" borderId="0" xfId="0" applyFont="1"/>
    <xf numFmtId="0" fontId="55" fillId="2" borderId="1" xfId="0" applyFont="1" applyFill="1" applyBorder="1" applyAlignment="1">
      <alignment horizontal="center" vertical="center" wrapText="1"/>
    </xf>
    <xf numFmtId="0" fontId="55" fillId="2" borderId="2" xfId="0" applyFont="1" applyFill="1" applyBorder="1" applyAlignment="1">
      <alignment horizontal="center" vertical="center" wrapText="1"/>
    </xf>
    <xf numFmtId="0" fontId="55" fillId="0" borderId="1" xfId="0" applyFont="1" applyBorder="1" applyAlignment="1">
      <alignment horizontal="left" wrapText="1"/>
    </xf>
    <xf numFmtId="0" fontId="32" fillId="0" borderId="1" xfId="0" applyFont="1" applyBorder="1" applyAlignment="1">
      <alignment horizontal="center" vertical="center"/>
    </xf>
    <xf numFmtId="0" fontId="32" fillId="4" borderId="1" xfId="0" applyFont="1" applyFill="1" applyBorder="1" applyAlignment="1">
      <alignment horizontal="center" vertical="center" wrapText="1"/>
    </xf>
    <xf numFmtId="0" fontId="34" fillId="4" borderId="1" xfId="0" applyFont="1" applyFill="1" applyBorder="1" applyAlignment="1">
      <alignment horizontal="center" vertical="center" wrapText="1"/>
    </xf>
    <xf numFmtId="2" fontId="55" fillId="3" borderId="1" xfId="0" applyNumberFormat="1" applyFont="1" applyFill="1" applyBorder="1" applyAlignment="1">
      <alignment horizontal="center" vertical="center"/>
    </xf>
    <xf numFmtId="2" fontId="55" fillId="3" borderId="2" xfId="0" applyNumberFormat="1" applyFont="1" applyFill="1" applyBorder="1" applyAlignment="1">
      <alignment horizontal="center" vertical="center"/>
    </xf>
    <xf numFmtId="0" fontId="55" fillId="0" borderId="2" xfId="0" applyFont="1" applyBorder="1" applyAlignment="1">
      <alignment horizontal="center" vertical="center"/>
    </xf>
    <xf numFmtId="0" fontId="55" fillId="2" borderId="3" xfId="0" applyFont="1" applyFill="1" applyBorder="1" applyAlignment="1">
      <alignment horizontal="center" vertical="center" wrapText="1"/>
    </xf>
    <xf numFmtId="0" fontId="32" fillId="0" borderId="1" xfId="0" applyFont="1" applyBorder="1"/>
    <xf numFmtId="164" fontId="32" fillId="0" borderId="1" xfId="1" applyFont="1" applyBorder="1"/>
    <xf numFmtId="166" fontId="32" fillId="0" borderId="1" xfId="1" applyNumberFormat="1" applyFont="1" applyBorder="1"/>
    <xf numFmtId="9" fontId="37" fillId="0" borderId="1" xfId="1" applyNumberFormat="1" applyFont="1" applyBorder="1"/>
    <xf numFmtId="166" fontId="32" fillId="0" borderId="1" xfId="0" applyNumberFormat="1" applyFont="1" applyBorder="1"/>
    <xf numFmtId="168" fontId="32" fillId="0" borderId="1" xfId="0" applyNumberFormat="1" applyFont="1" applyBorder="1"/>
    <xf numFmtId="166" fontId="32" fillId="0" borderId="0" xfId="0" applyNumberFormat="1" applyFont="1"/>
    <xf numFmtId="168" fontId="32" fillId="0" borderId="0" xfId="0" applyNumberFormat="1" applyFont="1"/>
    <xf numFmtId="43" fontId="32" fillId="0" borderId="1" xfId="0" applyNumberFormat="1" applyFont="1" applyBorder="1"/>
    <xf numFmtId="166" fontId="32" fillId="0" borderId="1" xfId="0" applyNumberFormat="1" applyFont="1" applyBorder="1" applyAlignment="1">
      <alignment horizontal="center" vertical="center"/>
    </xf>
    <xf numFmtId="0" fontId="56" fillId="0" borderId="0" xfId="0" applyFont="1"/>
    <xf numFmtId="0" fontId="0" fillId="7" borderId="0" xfId="0" applyFill="1"/>
    <xf numFmtId="1" fontId="13" fillId="0" borderId="20" xfId="0" applyNumberFormat="1" applyFont="1" applyBorder="1" applyAlignment="1">
      <alignment horizontal="center" vertical="center"/>
    </xf>
    <xf numFmtId="166" fontId="2" fillId="4" borderId="20" xfId="1" applyNumberFormat="1" applyFont="1" applyFill="1" applyBorder="1" applyAlignment="1">
      <alignment horizontal="center"/>
    </xf>
    <xf numFmtId="0" fontId="10" fillId="0" borderId="0" xfId="0" applyFont="1"/>
    <xf numFmtId="166" fontId="58" fillId="4" borderId="10" xfId="1" applyNumberFormat="1" applyFont="1" applyFill="1" applyBorder="1" applyAlignment="1">
      <alignment horizontal="center"/>
    </xf>
    <xf numFmtId="2" fontId="38" fillId="0" borderId="19" xfId="0" applyNumberFormat="1" applyFont="1" applyBorder="1" applyAlignment="1">
      <alignment horizontal="center" vertical="center"/>
    </xf>
    <xf numFmtId="0" fontId="38" fillId="0" borderId="22" xfId="0" applyFont="1" applyBorder="1" applyAlignment="1">
      <alignment horizontal="center" vertical="center"/>
    </xf>
    <xf numFmtId="0" fontId="38" fillId="0" borderId="19" xfId="0" applyFont="1" applyBorder="1" applyAlignment="1">
      <alignment horizontal="center" vertical="center"/>
    </xf>
    <xf numFmtId="166" fontId="15" fillId="0" borderId="1" xfId="1" applyNumberFormat="1" applyFont="1" applyFill="1" applyBorder="1" applyAlignment="1">
      <alignment horizontal="center" vertical="center"/>
    </xf>
    <xf numFmtId="0" fontId="38" fillId="4" borderId="0" xfId="0" applyFont="1" applyFill="1"/>
    <xf numFmtId="0" fontId="38" fillId="4" borderId="9" xfId="0" applyFont="1" applyFill="1" applyBorder="1" applyAlignment="1">
      <alignment horizontal="center" vertical="center" wrapText="1"/>
    </xf>
    <xf numFmtId="0" fontId="38" fillId="0" borderId="10" xfId="0" applyFont="1" applyBorder="1"/>
    <xf numFmtId="0" fontId="40" fillId="0" borderId="0" xfId="0" applyFont="1" applyAlignment="1">
      <alignment wrapText="1"/>
    </xf>
    <xf numFmtId="0" fontId="40" fillId="3" borderId="24" xfId="0" applyFont="1" applyFill="1" applyBorder="1" applyAlignment="1">
      <alignment horizontal="center" vertical="center" wrapText="1"/>
    </xf>
    <xf numFmtId="0" fontId="29" fillId="3" borderId="24" xfId="0" applyFont="1" applyFill="1" applyBorder="1" applyAlignment="1">
      <alignment horizontal="center" vertical="center"/>
    </xf>
    <xf numFmtId="2" fontId="58" fillId="0" borderId="24" xfId="0" applyNumberFormat="1" applyFont="1" applyBorder="1" applyAlignment="1">
      <alignment horizontal="center" vertical="center"/>
    </xf>
    <xf numFmtId="2" fontId="58" fillId="0" borderId="0" xfId="0" applyNumberFormat="1" applyFont="1" applyAlignment="1">
      <alignment horizontal="center" vertical="center"/>
    </xf>
    <xf numFmtId="2" fontId="38" fillId="0" borderId="10" xfId="0" applyNumberFormat="1" applyFont="1" applyBorder="1" applyAlignment="1">
      <alignment horizontal="center" vertical="center"/>
    </xf>
    <xf numFmtId="0" fontId="38" fillId="0" borderId="20" xfId="0" applyFont="1" applyBorder="1" applyAlignment="1">
      <alignment horizontal="center" vertical="center"/>
    </xf>
    <xf numFmtId="165" fontId="39" fillId="0" borderId="10" xfId="0" applyNumberFormat="1" applyFont="1" applyBorder="1" applyAlignment="1">
      <alignment horizontal="center" vertical="center"/>
    </xf>
    <xf numFmtId="0" fontId="38" fillId="0" borderId="18" xfId="0" applyFont="1" applyBorder="1"/>
    <xf numFmtId="0" fontId="38" fillId="0" borderId="26" xfId="0" applyFont="1" applyBorder="1" applyAlignment="1">
      <alignment horizontal="center"/>
    </xf>
    <xf numFmtId="0" fontId="38" fillId="0" borderId="19" xfId="0" applyFont="1" applyBorder="1" applyAlignment="1">
      <alignment horizontal="center"/>
    </xf>
    <xf numFmtId="0" fontId="38" fillId="0" borderId="25" xfId="0" applyFont="1" applyBorder="1" applyAlignment="1">
      <alignment horizontal="center"/>
    </xf>
    <xf numFmtId="2" fontId="38" fillId="0" borderId="10" xfId="0" applyNumberFormat="1" applyFont="1" applyBorder="1" applyAlignment="1">
      <alignment horizontal="center"/>
    </xf>
    <xf numFmtId="0" fontId="38" fillId="0" borderId="18" xfId="0" applyFont="1" applyBorder="1" applyAlignment="1">
      <alignment horizontal="center"/>
    </xf>
    <xf numFmtId="0" fontId="38" fillId="0" borderId="21" xfId="0" applyFont="1" applyBorder="1"/>
    <xf numFmtId="0" fontId="38" fillId="0" borderId="10" xfId="0" applyFont="1" applyBorder="1" applyAlignment="1">
      <alignment horizontal="center"/>
    </xf>
    <xf numFmtId="2" fontId="58" fillId="0" borderId="10" xfId="0" applyNumberFormat="1" applyFont="1" applyBorder="1" applyAlignment="1">
      <alignment horizontal="center" vertical="center"/>
    </xf>
    <xf numFmtId="2" fontId="39" fillId="0" borderId="27" xfId="0" applyNumberFormat="1" applyFont="1" applyBorder="1" applyAlignment="1">
      <alignment horizontal="center"/>
    </xf>
    <xf numFmtId="0" fontId="38" fillId="0" borderId="26" xfId="0" applyFont="1" applyBorder="1"/>
    <xf numFmtId="0" fontId="38" fillId="0" borderId="19" xfId="0" applyFont="1" applyBorder="1"/>
    <xf numFmtId="2" fontId="38" fillId="0" borderId="19" xfId="0" applyNumberFormat="1" applyFont="1" applyBorder="1" applyAlignment="1">
      <alignment horizontal="center"/>
    </xf>
    <xf numFmtId="2" fontId="38" fillId="0" borderId="18" xfId="0" applyNumberFormat="1" applyFont="1" applyBorder="1" applyAlignment="1">
      <alignment horizontal="center"/>
    </xf>
    <xf numFmtId="0" fontId="38" fillId="0" borderId="10" xfId="0" applyFont="1" applyBorder="1" applyAlignment="1">
      <alignment horizontal="center" vertical="center"/>
    </xf>
    <xf numFmtId="2" fontId="39" fillId="0" borderId="10" xfId="0" applyNumberFormat="1" applyFont="1" applyBorder="1" applyAlignment="1">
      <alignment horizontal="center" vertical="center"/>
    </xf>
    <xf numFmtId="2" fontId="39" fillId="0" borderId="19" xfId="0" applyNumberFormat="1" applyFont="1" applyBorder="1" applyAlignment="1">
      <alignment horizontal="center" vertical="center"/>
    </xf>
    <xf numFmtId="2" fontId="39" fillId="0" borderId="20" xfId="0" applyNumberFormat="1" applyFont="1" applyBorder="1" applyAlignment="1">
      <alignment horizontal="center" vertical="center"/>
    </xf>
    <xf numFmtId="0" fontId="38" fillId="0" borderId="30" xfId="0" applyFont="1" applyBorder="1"/>
    <xf numFmtId="2" fontId="39" fillId="0" borderId="22" xfId="0" applyNumberFormat="1" applyFont="1" applyBorder="1" applyAlignment="1">
      <alignment horizontal="center" vertical="center"/>
    </xf>
    <xf numFmtId="2" fontId="39" fillId="0" borderId="28" xfId="0" applyNumberFormat="1" applyFont="1" applyBorder="1" applyAlignment="1">
      <alignment horizontal="center" vertical="center"/>
    </xf>
    <xf numFmtId="0" fontId="38" fillId="0" borderId="25" xfId="0" applyFont="1" applyBorder="1" applyAlignment="1">
      <alignment horizontal="center" vertical="center"/>
    </xf>
    <xf numFmtId="0" fontId="38" fillId="0" borderId="27" xfId="0" applyFont="1" applyBorder="1"/>
    <xf numFmtId="0" fontId="39" fillId="0" borderId="19" xfId="0" applyFont="1" applyBorder="1" applyAlignment="1">
      <alignment horizontal="center" vertical="center"/>
    </xf>
    <xf numFmtId="2" fontId="39" fillId="0" borderId="25" xfId="0" applyNumberFormat="1" applyFont="1" applyBorder="1" applyAlignment="1">
      <alignment horizontal="center" vertical="center"/>
    </xf>
    <xf numFmtId="165" fontId="39" fillId="0" borderId="19" xfId="0" applyNumberFormat="1" applyFont="1" applyBorder="1" applyAlignment="1">
      <alignment horizontal="center" vertical="center"/>
    </xf>
    <xf numFmtId="165" fontId="39" fillId="0" borderId="22" xfId="0" applyNumberFormat="1" applyFont="1" applyBorder="1" applyAlignment="1">
      <alignment horizontal="center" vertical="center"/>
    </xf>
    <xf numFmtId="0" fontId="38" fillId="0" borderId="36" xfId="0" applyFont="1" applyBorder="1" applyAlignment="1">
      <alignment vertical="center" wrapText="1"/>
    </xf>
    <xf numFmtId="0" fontId="38" fillId="0" borderId="26" xfId="0" applyFont="1" applyBorder="1" applyAlignment="1">
      <alignment horizontal="left" vertical="center"/>
    </xf>
    <xf numFmtId="0" fontId="38" fillId="0" borderId="26" xfId="0" applyFont="1" applyBorder="1" applyAlignment="1">
      <alignment horizontal="center" vertical="center"/>
    </xf>
    <xf numFmtId="165" fontId="39" fillId="0" borderId="25" xfId="0" applyNumberFormat="1" applyFont="1" applyBorder="1" applyAlignment="1">
      <alignment horizontal="center" vertical="center"/>
    </xf>
    <xf numFmtId="0" fontId="46" fillId="0" borderId="37" xfId="0" applyFont="1" applyBorder="1" applyAlignment="1">
      <alignment vertical="center" wrapText="1"/>
    </xf>
    <xf numFmtId="0" fontId="38" fillId="0" borderId="29" xfId="0" applyFont="1" applyBorder="1" applyAlignment="1">
      <alignment vertical="center" wrapText="1"/>
    </xf>
    <xf numFmtId="0" fontId="38" fillId="0" borderId="30" xfId="0" applyFont="1" applyBorder="1" applyAlignment="1">
      <alignment vertical="center" wrapText="1"/>
    </xf>
    <xf numFmtId="0" fontId="38" fillId="0" borderId="0" xfId="0" applyFont="1" applyAlignment="1">
      <alignment vertical="center" wrapText="1"/>
    </xf>
    <xf numFmtId="0" fontId="38" fillId="0" borderId="22" xfId="0" applyFont="1" applyBorder="1" applyAlignment="1">
      <alignment vertical="center"/>
    </xf>
    <xf numFmtId="0" fontId="38" fillId="0" borderId="28" xfId="0" applyFont="1" applyBorder="1" applyAlignment="1">
      <alignment vertical="center"/>
    </xf>
    <xf numFmtId="0" fontId="38" fillId="0" borderId="28" xfId="0" applyFont="1" applyBorder="1" applyAlignment="1">
      <alignment horizontal="center" vertical="center"/>
    </xf>
    <xf numFmtId="0" fontId="38" fillId="0" borderId="20" xfId="0" applyFont="1" applyBorder="1" applyAlignment="1">
      <alignment vertical="center"/>
    </xf>
    <xf numFmtId="0" fontId="38" fillId="0" borderId="10" xfId="0" applyFont="1" applyBorder="1" applyAlignment="1">
      <alignment horizontal="left" vertical="center"/>
    </xf>
    <xf numFmtId="0" fontId="38" fillId="0" borderId="25" xfId="0" applyFont="1" applyBorder="1" applyAlignment="1">
      <alignment vertical="center"/>
    </xf>
    <xf numFmtId="0" fontId="38" fillId="0" borderId="19" xfId="0" applyFont="1" applyBorder="1" applyAlignment="1">
      <alignment vertical="center"/>
    </xf>
    <xf numFmtId="0" fontId="16" fillId="0" borderId="0" xfId="3" applyFont="1" applyAlignment="1">
      <alignment horizontal="left" vertical="center"/>
    </xf>
    <xf numFmtId="0" fontId="3" fillId="4" borderId="4" xfId="0" applyFont="1" applyFill="1" applyBorder="1" applyAlignment="1">
      <alignment wrapText="1"/>
    </xf>
    <xf numFmtId="0" fontId="15" fillId="0" borderId="0" xfId="2" applyFont="1"/>
    <xf numFmtId="0" fontId="13" fillId="0" borderId="0" xfId="2" applyFont="1"/>
    <xf numFmtId="0" fontId="15" fillId="0" borderId="0" xfId="2" applyFont="1" applyAlignment="1">
      <alignment horizontal="left" vertical="top" wrapText="1"/>
    </xf>
    <xf numFmtId="2" fontId="14" fillId="0" borderId="1" xfId="4" applyNumberFormat="1" applyFont="1" applyBorder="1" applyAlignment="1" applyProtection="1">
      <alignment horizontal="center" wrapText="1"/>
      <protection locked="0"/>
    </xf>
    <xf numFmtId="167" fontId="13" fillId="0" borderId="1" xfId="4" applyNumberFormat="1" applyFont="1" applyBorder="1" applyAlignment="1" applyProtection="1">
      <alignment horizontal="center" wrapText="1"/>
      <protection locked="0"/>
    </xf>
    <xf numFmtId="49" fontId="13" fillId="4" borderId="1" xfId="2" applyNumberFormat="1" applyFont="1" applyFill="1" applyBorder="1" applyAlignment="1">
      <alignment horizontal="center" vertical="center"/>
    </xf>
    <xf numFmtId="0" fontId="15" fillId="4" borderId="1" xfId="2" applyFont="1" applyFill="1" applyBorder="1" applyAlignment="1">
      <alignment horizontal="left" vertical="center" wrapText="1"/>
    </xf>
    <xf numFmtId="168" fontId="15" fillId="0" borderId="0" xfId="3" applyNumberFormat="1" applyFont="1"/>
    <xf numFmtId="0" fontId="10" fillId="0" borderId="0" xfId="2" applyFont="1" applyAlignment="1">
      <alignment vertical="center"/>
    </xf>
    <xf numFmtId="0" fontId="10" fillId="0" borderId="0" xfId="2" applyFont="1" applyAlignment="1">
      <alignment vertical="center" wrapText="1"/>
    </xf>
    <xf numFmtId="0" fontId="13" fillId="0" borderId="0" xfId="2" applyFont="1" applyAlignment="1">
      <alignment horizontal="center" vertical="center" wrapText="1"/>
    </xf>
    <xf numFmtId="0" fontId="14" fillId="0" borderId="0" xfId="2" applyFont="1" applyAlignment="1">
      <alignment horizontal="center" vertical="center" wrapText="1"/>
    </xf>
    <xf numFmtId="164" fontId="3" fillId="0" borderId="13" xfId="1" applyFont="1" applyBorder="1" applyAlignment="1">
      <alignment wrapText="1"/>
    </xf>
    <xf numFmtId="164" fontId="13" fillId="0" borderId="0" xfId="1" applyFont="1" applyAlignment="1">
      <alignment horizontal="center" vertical="center" wrapText="1"/>
    </xf>
    <xf numFmtId="164" fontId="13" fillId="0" borderId="0" xfId="1" applyFont="1" applyAlignment="1">
      <alignment horizontal="center" wrapText="1"/>
    </xf>
    <xf numFmtId="164" fontId="15" fillId="8" borderId="0" xfId="3" applyNumberFormat="1" applyFont="1" applyFill="1" applyAlignment="1">
      <alignment horizontal="right"/>
    </xf>
    <xf numFmtId="0" fontId="15" fillId="0" borderId="0" xfId="3" applyFont="1" applyAlignment="1">
      <alignment horizontal="center" vertical="center" wrapText="1"/>
    </xf>
    <xf numFmtId="164" fontId="15" fillId="0" borderId="0" xfId="3" applyNumberFormat="1" applyFont="1" applyAlignment="1">
      <alignment horizontal="right"/>
    </xf>
    <xf numFmtId="0" fontId="3" fillId="0" borderId="0" xfId="3" applyFont="1"/>
    <xf numFmtId="2" fontId="14" fillId="4" borderId="35" xfId="3" applyNumberFormat="1" applyFont="1" applyFill="1" applyBorder="1" applyAlignment="1">
      <alignment horizontal="center" vertical="center"/>
    </xf>
    <xf numFmtId="164" fontId="15" fillId="8" borderId="0" xfId="3" applyNumberFormat="1" applyFont="1" applyFill="1"/>
    <xf numFmtId="0" fontId="13" fillId="3" borderId="17" xfId="3" applyFont="1" applyFill="1" applyBorder="1" applyAlignment="1" applyProtection="1">
      <alignment horizontal="center" vertical="center" wrapText="1"/>
      <protection locked="0"/>
    </xf>
    <xf numFmtId="2" fontId="13" fillId="3" borderId="16" xfId="3" applyNumberFormat="1" applyFont="1" applyFill="1" applyBorder="1" applyAlignment="1" applyProtection="1">
      <alignment horizontal="center" vertical="center" wrapText="1"/>
      <protection locked="0"/>
    </xf>
    <xf numFmtId="0" fontId="3" fillId="11" borderId="14" xfId="3" applyFont="1" applyFill="1" applyBorder="1" applyAlignment="1">
      <alignment horizontal="center" vertical="center" wrapText="1"/>
    </xf>
    <xf numFmtId="0" fontId="13" fillId="3" borderId="1" xfId="3" applyFont="1" applyFill="1" applyBorder="1" applyAlignment="1" applyProtection="1">
      <alignment horizontal="center" vertical="center" wrapText="1"/>
      <protection locked="0"/>
    </xf>
    <xf numFmtId="0" fontId="3" fillId="4" borderId="24" xfId="0" applyFont="1" applyFill="1" applyBorder="1" applyAlignment="1">
      <alignment horizontal="center" vertical="center" wrapText="1"/>
    </xf>
    <xf numFmtId="166" fontId="3" fillId="3" borderId="0" xfId="1" applyNumberFormat="1" applyFont="1" applyFill="1" applyBorder="1" applyAlignment="1">
      <alignment horizontal="center" vertical="center"/>
    </xf>
    <xf numFmtId="0" fontId="29" fillId="3" borderId="0" xfId="0" applyFont="1" applyFill="1"/>
    <xf numFmtId="0" fontId="29" fillId="3" borderId="1" xfId="0" applyFont="1" applyFill="1" applyBorder="1" applyAlignment="1">
      <alignment horizontal="center" wrapText="1"/>
    </xf>
    <xf numFmtId="0" fontId="29" fillId="3" borderId="2" xfId="0" applyFont="1" applyFill="1" applyBorder="1" applyAlignment="1">
      <alignment horizontal="center" wrapText="1"/>
    </xf>
    <xf numFmtId="0" fontId="29" fillId="3" borderId="0" xfId="0" applyFont="1" applyFill="1" applyAlignment="1">
      <alignment wrapText="1"/>
    </xf>
    <xf numFmtId="0" fontId="29" fillId="3" borderId="1" xfId="0" applyFont="1" applyFill="1" applyBorder="1" applyAlignment="1">
      <alignment wrapText="1"/>
    </xf>
    <xf numFmtId="0" fontId="53" fillId="0" borderId="4" xfId="0" applyFont="1" applyBorder="1" applyAlignment="1">
      <alignment horizontal="center" wrapText="1"/>
    </xf>
    <xf numFmtId="0" fontId="53" fillId="0" borderId="13" xfId="0" applyFont="1" applyBorder="1" applyAlignment="1">
      <alignment horizontal="center" wrapText="1"/>
    </xf>
    <xf numFmtId="0" fontId="29" fillId="3" borderId="13" xfId="0" applyFont="1" applyFill="1" applyBorder="1" applyAlignment="1">
      <alignment horizontal="center" wrapText="1"/>
    </xf>
    <xf numFmtId="167" fontId="40" fillId="0" borderId="4" xfId="0" applyNumberFormat="1" applyFont="1" applyBorder="1" applyAlignment="1">
      <alignment horizontal="center" wrapText="1"/>
    </xf>
    <xf numFmtId="0" fontId="29" fillId="3" borderId="1" xfId="0" applyFont="1" applyFill="1" applyBorder="1" applyAlignment="1">
      <alignment horizontal="center" vertical="center" wrapText="1"/>
    </xf>
    <xf numFmtId="0" fontId="29" fillId="3" borderId="2" xfId="0" applyFont="1" applyFill="1" applyBorder="1" applyAlignment="1">
      <alignment horizontal="center" vertical="center" wrapText="1"/>
    </xf>
    <xf numFmtId="164" fontId="3" fillId="0" borderId="13" xfId="1" applyFont="1" applyBorder="1" applyAlignment="1">
      <alignment vertical="center" wrapText="1"/>
    </xf>
    <xf numFmtId="0" fontId="3" fillId="3" borderId="10" xfId="0" applyFont="1" applyFill="1" applyBorder="1" applyAlignment="1">
      <alignment horizontal="center" vertical="center" wrapText="1"/>
    </xf>
    <xf numFmtId="2" fontId="3" fillId="3" borderId="10" xfId="0" applyNumberFormat="1" applyFont="1" applyFill="1" applyBorder="1" applyAlignment="1">
      <alignment horizontal="center" vertical="center" wrapText="1"/>
    </xf>
    <xf numFmtId="2" fontId="2" fillId="6" borderId="10" xfId="0" applyNumberFormat="1" applyFont="1" applyFill="1" applyBorder="1" applyAlignment="1">
      <alignment horizontal="center" vertical="center"/>
    </xf>
    <xf numFmtId="0" fontId="46" fillId="0" borderId="0" xfId="0" applyFont="1"/>
    <xf numFmtId="0" fontId="0" fillId="0" borderId="0" xfId="0" applyAlignment="1">
      <alignment horizontal="center"/>
    </xf>
    <xf numFmtId="0" fontId="38" fillId="0" borderId="0" xfId="0" applyFont="1" applyAlignment="1">
      <alignment wrapText="1"/>
    </xf>
    <xf numFmtId="0" fontId="40" fillId="0" borderId="13" xfId="0" applyFont="1" applyBorder="1" applyAlignment="1">
      <alignment wrapText="1"/>
    </xf>
    <xf numFmtId="0" fontId="38" fillId="0" borderId="0" xfId="0" applyFont="1" applyAlignment="1">
      <alignment horizontal="center"/>
    </xf>
    <xf numFmtId="0" fontId="38" fillId="0" borderId="1" xfId="0" applyFont="1" applyBorder="1"/>
    <xf numFmtId="0" fontId="38" fillId="0" borderId="1" xfId="0" applyFont="1" applyBorder="1" applyAlignment="1">
      <alignment wrapText="1"/>
    </xf>
    <xf numFmtId="2" fontId="39" fillId="0" borderId="1" xfId="0" applyNumberFormat="1" applyFont="1" applyBorder="1" applyAlignment="1">
      <alignment horizontal="center" vertical="center"/>
    </xf>
    <xf numFmtId="0" fontId="38" fillId="0" borderId="1" xfId="0" applyFont="1" applyBorder="1" applyAlignment="1">
      <alignment horizontal="center" vertical="center"/>
    </xf>
    <xf numFmtId="2" fontId="38" fillId="0" borderId="1" xfId="0" applyNumberFormat="1" applyFont="1" applyBorder="1" applyAlignment="1">
      <alignment horizontal="center" vertical="center"/>
    </xf>
    <xf numFmtId="0" fontId="15" fillId="8" borderId="0" xfId="3" applyFont="1" applyFill="1"/>
    <xf numFmtId="0" fontId="15" fillId="8" borderId="1" xfId="3" applyFont="1" applyFill="1" applyBorder="1" applyAlignment="1">
      <alignment horizontal="center" vertical="center" wrapText="1"/>
    </xf>
    <xf numFmtId="0" fontId="15" fillId="8" borderId="0" xfId="3" applyFont="1" applyFill="1" applyAlignment="1">
      <alignment vertical="center" wrapText="1"/>
    </xf>
    <xf numFmtId="0" fontId="15" fillId="8" borderId="0" xfId="3" applyFont="1" applyFill="1" applyAlignment="1">
      <alignment horizontal="right"/>
    </xf>
    <xf numFmtId="164" fontId="3" fillId="3" borderId="1" xfId="1" applyFont="1" applyFill="1" applyBorder="1" applyAlignment="1">
      <alignment horizontal="center" vertical="center"/>
    </xf>
    <xf numFmtId="1" fontId="3" fillId="0" borderId="1" xfId="0" applyNumberFormat="1" applyFont="1" applyBorder="1" applyAlignment="1">
      <alignment horizontal="center" vertical="center"/>
    </xf>
    <xf numFmtId="0" fontId="15" fillId="0" borderId="31" xfId="0" applyFont="1" applyBorder="1" applyAlignment="1">
      <alignment horizontal="center" vertical="center"/>
    </xf>
    <xf numFmtId="0" fontId="13" fillId="2" borderId="1" xfId="0" applyFont="1" applyFill="1" applyBorder="1" applyAlignment="1">
      <alignment horizontal="left" vertical="center" wrapText="1"/>
    </xf>
    <xf numFmtId="0" fontId="19" fillId="0" borderId="0" xfId="0" applyFont="1" applyAlignment="1">
      <alignment vertical="center" wrapText="1"/>
    </xf>
    <xf numFmtId="0" fontId="5" fillId="2" borderId="39" xfId="0" applyFont="1" applyFill="1" applyBorder="1" applyAlignment="1">
      <alignment horizontal="center" vertical="center" wrapText="1"/>
    </xf>
    <xf numFmtId="1" fontId="5" fillId="0" borderId="20" xfId="0" applyNumberFormat="1" applyFont="1" applyBorder="1" applyAlignment="1">
      <alignment horizontal="center" vertical="center"/>
    </xf>
    <xf numFmtId="164" fontId="19" fillId="0" borderId="10" xfId="1" applyFont="1" applyBorder="1" applyAlignment="1">
      <alignment horizontal="center" vertical="center"/>
    </xf>
    <xf numFmtId="0" fontId="3" fillId="0" borderId="20" xfId="0" applyFont="1" applyBorder="1" applyAlignment="1">
      <alignment horizontal="left" vertical="center" wrapText="1"/>
    </xf>
    <xf numFmtId="3" fontId="55" fillId="0" borderId="2" xfId="0" applyNumberFormat="1" applyFont="1" applyBorder="1" applyAlignment="1">
      <alignment horizontal="center" vertical="center"/>
    </xf>
    <xf numFmtId="0" fontId="64" fillId="0" borderId="0" xfId="0" applyFont="1"/>
    <xf numFmtId="0" fontId="32" fillId="0" borderId="1" xfId="0" applyFont="1" applyBorder="1" applyAlignment="1">
      <alignment horizontal="center" vertical="center" wrapText="1"/>
    </xf>
    <xf numFmtId="0" fontId="40" fillId="3" borderId="0" xfId="0" applyFont="1" applyFill="1" applyAlignment="1">
      <alignment horizontal="center" vertical="center" wrapText="1"/>
    </xf>
    <xf numFmtId="0" fontId="38" fillId="0" borderId="20" xfId="0" applyFont="1" applyBorder="1" applyAlignment="1">
      <alignment horizontal="center"/>
    </xf>
    <xf numFmtId="0" fontId="38" fillId="0" borderId="21" xfId="0" applyFont="1" applyBorder="1" applyAlignment="1">
      <alignment horizontal="center" vertical="center"/>
    </xf>
    <xf numFmtId="2" fontId="38" fillId="0" borderId="26" xfId="0" applyNumberFormat="1" applyFont="1" applyBorder="1" applyAlignment="1">
      <alignment horizontal="center" vertical="center"/>
    </xf>
    <xf numFmtId="0" fontId="38" fillId="4" borderId="24" xfId="0" applyFont="1" applyFill="1" applyBorder="1" applyAlignment="1">
      <alignment horizontal="center" vertical="center" wrapText="1"/>
    </xf>
    <xf numFmtId="2" fontId="40" fillId="3" borderId="1" xfId="0" applyNumberFormat="1" applyFont="1" applyFill="1" applyBorder="1" applyAlignment="1">
      <alignment horizontal="center" vertical="center" wrapText="1"/>
    </xf>
    <xf numFmtId="0" fontId="38" fillId="0" borderId="21" xfId="0" applyFont="1" applyBorder="1" applyAlignment="1">
      <alignment horizontal="center"/>
    </xf>
    <xf numFmtId="0" fontId="38" fillId="0" borderId="30" xfId="0" applyFont="1" applyBorder="1" applyAlignment="1">
      <alignment horizontal="center" vertical="center"/>
    </xf>
    <xf numFmtId="0" fontId="38" fillId="0" borderId="18" xfId="0" applyFont="1" applyBorder="1" applyAlignment="1">
      <alignment horizontal="center" vertical="center"/>
    </xf>
    <xf numFmtId="0" fontId="38" fillId="0" borderId="27" xfId="0" applyFont="1" applyBorder="1" applyAlignment="1">
      <alignment horizontal="center"/>
    </xf>
    <xf numFmtId="0" fontId="38" fillId="0" borderId="27" xfId="0" applyFont="1" applyBorder="1" applyAlignment="1">
      <alignment horizontal="center" vertical="center"/>
    </xf>
    <xf numFmtId="0" fontId="38" fillId="0" borderId="29" xfId="0" applyFont="1" applyBorder="1" applyAlignment="1">
      <alignment horizontal="center" vertical="center"/>
    </xf>
    <xf numFmtId="2" fontId="38" fillId="0" borderId="25" xfId="0" applyNumberFormat="1" applyFont="1" applyBorder="1" applyAlignment="1">
      <alignment horizontal="center" vertical="center"/>
    </xf>
    <xf numFmtId="2" fontId="38" fillId="0" borderId="27" xfId="0" applyNumberFormat="1" applyFont="1" applyBorder="1" applyAlignment="1">
      <alignment horizontal="center"/>
    </xf>
    <xf numFmtId="2" fontId="39" fillId="0" borderId="21" xfId="0" applyNumberFormat="1" applyFont="1" applyBorder="1" applyAlignment="1">
      <alignment horizontal="center" vertical="center"/>
    </xf>
    <xf numFmtId="2" fontId="39" fillId="0" borderId="30" xfId="0" applyNumberFormat="1" applyFont="1" applyBorder="1" applyAlignment="1">
      <alignment horizontal="center" vertical="center"/>
    </xf>
    <xf numFmtId="2" fontId="39" fillId="0" borderId="26" xfId="0" applyNumberFormat="1" applyFont="1" applyBorder="1" applyAlignment="1">
      <alignment horizontal="center" vertical="center"/>
    </xf>
    <xf numFmtId="0" fontId="66" fillId="0" borderId="0" xfId="0" applyFont="1" applyAlignment="1">
      <alignment vertical="center" wrapText="1"/>
    </xf>
    <xf numFmtId="43" fontId="15" fillId="0" borderId="1" xfId="0" applyNumberFormat="1" applyFont="1" applyBorder="1"/>
    <xf numFmtId="0" fontId="3" fillId="2" borderId="11" xfId="0" applyFont="1" applyFill="1" applyBorder="1" applyAlignment="1">
      <alignment horizontal="center" vertical="center" wrapText="1"/>
    </xf>
    <xf numFmtId="1" fontId="13" fillId="0" borderId="46" xfId="0" applyNumberFormat="1" applyFont="1" applyBorder="1" applyAlignment="1">
      <alignment horizontal="center" vertical="center"/>
    </xf>
    <xf numFmtId="0" fontId="1" fillId="0" borderId="0" xfId="0" applyFont="1" applyAlignment="1">
      <alignment vertical="center"/>
    </xf>
    <xf numFmtId="0" fontId="0" fillId="0" borderId="0" xfId="0" applyAlignment="1">
      <alignment vertical="center"/>
    </xf>
    <xf numFmtId="0" fontId="29" fillId="0" borderId="10" xfId="0" applyFont="1" applyBorder="1" applyAlignment="1">
      <alignment vertical="center" wrapText="1"/>
    </xf>
    <xf numFmtId="0" fontId="40" fillId="0" borderId="32" xfId="0" applyFont="1" applyBorder="1" applyAlignment="1">
      <alignment vertical="center" wrapText="1"/>
    </xf>
    <xf numFmtId="0" fontId="40" fillId="0" borderId="20" xfId="0" applyFont="1" applyBorder="1" applyAlignment="1">
      <alignment horizontal="left" vertical="center" wrapText="1"/>
    </xf>
    <xf numFmtId="0" fontId="29" fillId="0" borderId="30" xfId="0" applyFont="1" applyBorder="1" applyAlignment="1">
      <alignment vertical="center" wrapText="1"/>
    </xf>
    <xf numFmtId="2" fontId="40" fillId="0" borderId="30" xfId="0" applyNumberFormat="1" applyFont="1" applyBorder="1" applyAlignment="1">
      <alignment horizontal="center" vertical="center"/>
    </xf>
    <xf numFmtId="0" fontId="40" fillId="0" borderId="1" xfId="0" applyFont="1" applyBorder="1" applyAlignment="1">
      <alignment horizontal="left" vertical="center" wrapText="1"/>
    </xf>
    <xf numFmtId="0" fontId="1" fillId="0" borderId="0" xfId="0" applyFont="1" applyAlignment="1">
      <alignment horizontal="center"/>
    </xf>
    <xf numFmtId="0" fontId="6" fillId="0" borderId="0" xfId="0" applyFont="1" applyAlignment="1">
      <alignment horizontal="center" wrapText="1"/>
    </xf>
    <xf numFmtId="0" fontId="7" fillId="0" borderId="0" xfId="0" applyFont="1" applyAlignment="1">
      <alignment horizontal="center"/>
    </xf>
    <xf numFmtId="2" fontId="40" fillId="3" borderId="3" xfId="0" applyNumberFormat="1" applyFont="1" applyFill="1" applyBorder="1" applyAlignment="1">
      <alignment horizontal="center" vertical="center" wrapText="1"/>
    </xf>
    <xf numFmtId="165" fontId="38" fillId="0" borderId="19" xfId="0" applyNumberFormat="1" applyFont="1" applyBorder="1" applyAlignment="1">
      <alignment horizontal="right"/>
    </xf>
    <xf numFmtId="165" fontId="38" fillId="0" borderId="1" xfId="0" applyNumberFormat="1" applyFont="1" applyBorder="1"/>
    <xf numFmtId="0" fontId="44" fillId="0" borderId="0" xfId="0" applyFont="1"/>
    <xf numFmtId="0" fontId="67" fillId="0" borderId="0" xfId="0" applyFont="1"/>
    <xf numFmtId="0" fontId="35" fillId="4" borderId="1" xfId="3" applyFont="1" applyFill="1" applyBorder="1" applyAlignment="1">
      <alignment horizontal="center" vertical="center" wrapText="1"/>
    </xf>
    <xf numFmtId="3" fontId="31" fillId="8" borderId="1" xfId="3" applyNumberFormat="1" applyFont="1" applyFill="1" applyBorder="1" applyAlignment="1">
      <alignment vertical="center"/>
    </xf>
    <xf numFmtId="0" fontId="31" fillId="0" borderId="1" xfId="0" applyFont="1" applyBorder="1"/>
    <xf numFmtId="3" fontId="31" fillId="0" borderId="1" xfId="0" applyNumberFormat="1" applyFont="1" applyBorder="1" applyAlignment="1">
      <alignment horizontal="center" vertical="center"/>
    </xf>
    <xf numFmtId="4" fontId="31" fillId="0" borderId="1" xfId="0" applyNumberFormat="1" applyFont="1" applyBorder="1"/>
    <xf numFmtId="0" fontId="31" fillId="0" borderId="3" xfId="0" applyFont="1" applyBorder="1"/>
    <xf numFmtId="3" fontId="31" fillId="0" borderId="3" xfId="0" applyNumberFormat="1" applyFont="1" applyBorder="1" applyAlignment="1">
      <alignment horizontal="center" vertical="center"/>
    </xf>
    <xf numFmtId="4" fontId="31" fillId="0" borderId="3" xfId="0" applyNumberFormat="1" applyFont="1" applyBorder="1"/>
    <xf numFmtId="0" fontId="35" fillId="0" borderId="39" xfId="0" applyFont="1" applyBorder="1"/>
    <xf numFmtId="4" fontId="35" fillId="0" borderId="1" xfId="0" applyNumberFormat="1" applyFont="1" applyBorder="1"/>
    <xf numFmtId="4" fontId="44" fillId="0" borderId="1" xfId="0" applyNumberFormat="1" applyFont="1" applyBorder="1"/>
    <xf numFmtId="0" fontId="44" fillId="0" borderId="41" xfId="0" applyFont="1" applyBorder="1"/>
    <xf numFmtId="0" fontId="35" fillId="0" borderId="39" xfId="0" applyFont="1" applyBorder="1" applyAlignment="1">
      <alignment horizontal="center"/>
    </xf>
    <xf numFmtId="4" fontId="35" fillId="0" borderId="39" xfId="0" applyNumberFormat="1" applyFont="1" applyBorder="1"/>
    <xf numFmtId="4" fontId="35" fillId="0" borderId="1" xfId="0" applyNumberFormat="1" applyFont="1" applyBorder="1" applyAlignment="1">
      <alignment horizontal="right"/>
    </xf>
    <xf numFmtId="0" fontId="35" fillId="0" borderId="0" xfId="0" applyFont="1" applyAlignment="1">
      <alignment horizontal="right"/>
    </xf>
    <xf numFmtId="0" fontId="35" fillId="0" borderId="39" xfId="0" applyFont="1" applyBorder="1" applyAlignment="1">
      <alignment horizontal="right"/>
    </xf>
    <xf numFmtId="4" fontId="35" fillId="0" borderId="39" xfId="0" applyNumberFormat="1" applyFont="1" applyBorder="1" applyAlignment="1">
      <alignment horizontal="right"/>
    </xf>
    <xf numFmtId="0" fontId="35" fillId="0" borderId="41" xfId="0" applyFont="1" applyBorder="1"/>
    <xf numFmtId="3" fontId="35" fillId="0" borderId="1" xfId="0" applyNumberFormat="1" applyFont="1" applyBorder="1"/>
    <xf numFmtId="3" fontId="35" fillId="0" borderId="1" xfId="0" applyNumberFormat="1" applyFont="1" applyBorder="1" applyAlignment="1">
      <alignment horizontal="center"/>
    </xf>
    <xf numFmtId="3" fontId="35" fillId="0" borderId="1" xfId="0" applyNumberFormat="1" applyFont="1" applyBorder="1" applyAlignment="1">
      <alignment horizontal="right"/>
    </xf>
    <xf numFmtId="4" fontId="35" fillId="0" borderId="0" xfId="0" applyNumberFormat="1" applyFont="1" applyAlignment="1">
      <alignment horizontal="right"/>
    </xf>
    <xf numFmtId="4" fontId="31" fillId="0" borderId="0" xfId="0" applyNumberFormat="1" applyFont="1"/>
    <xf numFmtId="0" fontId="35" fillId="0" borderId="32" xfId="0" applyFont="1" applyBorder="1"/>
    <xf numFmtId="0" fontId="35" fillId="0" borderId="12" xfId="0" applyFont="1" applyBorder="1"/>
    <xf numFmtId="3" fontId="31" fillId="0" borderId="1" xfId="3" applyNumberFormat="1" applyFont="1" applyBorder="1" applyAlignment="1">
      <alignment vertical="center"/>
    </xf>
    <xf numFmtId="169" fontId="3" fillId="3" borderId="1" xfId="0" applyNumberFormat="1" applyFont="1" applyFill="1" applyBorder="1" applyAlignment="1">
      <alignment horizontal="center" vertical="center"/>
    </xf>
    <xf numFmtId="2" fontId="40" fillId="0" borderId="1" xfId="0" applyNumberFormat="1" applyFont="1" applyBorder="1" applyAlignment="1">
      <alignment horizontal="center" vertical="center" wrapText="1"/>
    </xf>
    <xf numFmtId="2" fontId="38" fillId="0" borderId="1" xfId="0" applyNumberFormat="1" applyFont="1" applyBorder="1"/>
    <xf numFmtId="2" fontId="40" fillId="3" borderId="4" xfId="0" applyNumberFormat="1" applyFont="1" applyFill="1" applyBorder="1" applyAlignment="1">
      <alignment horizontal="center" vertical="center" wrapText="1"/>
    </xf>
    <xf numFmtId="0" fontId="38" fillId="0" borderId="1" xfId="0" applyFont="1" applyBorder="1" applyAlignment="1">
      <alignment vertical="center"/>
    </xf>
    <xf numFmtId="0" fontId="38" fillId="0" borderId="1" xfId="0" applyFont="1" applyBorder="1" applyAlignment="1">
      <alignment horizontal="left" vertical="center"/>
    </xf>
    <xf numFmtId="165" fontId="39" fillId="0" borderId="1" xfId="0" applyNumberFormat="1" applyFont="1" applyBorder="1" applyAlignment="1">
      <alignment horizontal="center" vertical="center"/>
    </xf>
    <xf numFmtId="2" fontId="39" fillId="0" borderId="31" xfId="0" applyNumberFormat="1" applyFont="1" applyBorder="1" applyAlignment="1">
      <alignment horizontal="center" vertical="center"/>
    </xf>
    <xf numFmtId="0" fontId="38" fillId="0" borderId="31" xfId="0" applyFont="1" applyBorder="1"/>
    <xf numFmtId="0" fontId="31" fillId="0" borderId="0" xfId="9" applyFont="1"/>
    <xf numFmtId="0" fontId="41" fillId="0" borderId="0" xfId="9" applyFont="1"/>
    <xf numFmtId="0" fontId="31" fillId="0" borderId="0" xfId="9" applyFont="1" applyAlignment="1">
      <alignment vertical="center" wrapText="1"/>
    </xf>
    <xf numFmtId="0" fontId="31" fillId="0" borderId="0" xfId="9" applyFont="1" applyAlignment="1">
      <alignment horizontal="left" vertical="center" wrapText="1"/>
    </xf>
    <xf numFmtId="0" fontId="35" fillId="0" borderId="0" xfId="9" applyFont="1"/>
    <xf numFmtId="0" fontId="31" fillId="4" borderId="1" xfId="9" applyFont="1" applyFill="1" applyBorder="1" applyAlignment="1">
      <alignment horizontal="center" vertical="center"/>
    </xf>
    <xf numFmtId="0" fontId="31" fillId="4" borderId="1" xfId="9" applyFont="1" applyFill="1" applyBorder="1" applyAlignment="1">
      <alignment horizontal="center" vertical="center" wrapText="1"/>
    </xf>
    <xf numFmtId="0" fontId="36" fillId="4" borderId="1" xfId="9" applyFont="1" applyFill="1" applyBorder="1" applyAlignment="1">
      <alignment horizontal="center" vertical="center" wrapText="1"/>
    </xf>
    <xf numFmtId="0" fontId="31" fillId="4" borderId="1" xfId="9" applyFont="1" applyFill="1" applyBorder="1" applyAlignment="1">
      <alignment vertical="center"/>
    </xf>
    <xf numFmtId="0" fontId="31" fillId="0" borderId="1" xfId="9" applyFont="1" applyBorder="1" applyAlignment="1">
      <alignment horizontal="center" vertical="center" wrapText="1"/>
    </xf>
    <xf numFmtId="0" fontId="31" fillId="0" borderId="1" xfId="9" applyFont="1" applyBorder="1" applyAlignment="1">
      <alignment horizontal="center"/>
    </xf>
    <xf numFmtId="3" fontId="36" fillId="0" borderId="1" xfId="9" applyNumberFormat="1" applyFont="1" applyBorder="1" applyAlignment="1">
      <alignment horizontal="center" vertical="center" wrapText="1"/>
    </xf>
    <xf numFmtId="0" fontId="31" fillId="4" borderId="1" xfId="9" applyFont="1" applyFill="1" applyBorder="1" applyAlignment="1">
      <alignment horizontal="left" vertical="center"/>
    </xf>
    <xf numFmtId="49" fontId="42" fillId="4" borderId="1" xfId="4" applyNumberFormat="1" applyFont="1" applyFill="1" applyBorder="1" applyAlignment="1">
      <alignment horizontal="center" vertical="center" wrapText="1"/>
    </xf>
    <xf numFmtId="0" fontId="62" fillId="4" borderId="1" xfId="9" applyFont="1" applyFill="1" applyBorder="1" applyAlignment="1">
      <alignment horizontal="center" vertical="center"/>
    </xf>
    <xf numFmtId="0" fontId="62" fillId="4" borderId="1" xfId="9" applyFont="1" applyFill="1" applyBorder="1" applyAlignment="1">
      <alignment horizontal="center" vertical="center" wrapText="1"/>
    </xf>
    <xf numFmtId="0" fontId="62" fillId="0" borderId="1" xfId="9" applyFont="1" applyBorder="1" applyAlignment="1">
      <alignment horizontal="center" vertical="center" wrapText="1"/>
    </xf>
    <xf numFmtId="0" fontId="62" fillId="0" borderId="1" xfId="9" applyFont="1" applyBorder="1" applyAlignment="1">
      <alignment horizontal="center"/>
    </xf>
    <xf numFmtId="0" fontId="62" fillId="0" borderId="0" xfId="9" applyFont="1"/>
    <xf numFmtId="0" fontId="62" fillId="4" borderId="1" xfId="9" applyFont="1" applyFill="1" applyBorder="1" applyAlignment="1">
      <alignment horizontal="left" vertical="center"/>
    </xf>
    <xf numFmtId="0" fontId="31" fillId="4" borderId="1" xfId="9" applyFont="1" applyFill="1" applyBorder="1" applyAlignment="1">
      <alignment horizontal="left" vertical="center" wrapText="1"/>
    </xf>
    <xf numFmtId="0" fontId="62" fillId="0" borderId="1" xfId="9" applyFont="1" applyBorder="1" applyAlignment="1">
      <alignment horizontal="center" vertical="center"/>
    </xf>
    <xf numFmtId="0" fontId="42" fillId="0" borderId="0" xfId="9" applyFont="1" applyAlignment="1">
      <alignment horizontal="center" vertical="center"/>
    </xf>
    <xf numFmtId="0" fontId="31" fillId="0" borderId="0" xfId="9" applyFont="1" applyAlignment="1">
      <alignment horizontal="right"/>
    </xf>
    <xf numFmtId="43" fontId="31" fillId="0" borderId="0" xfId="9" applyNumberFormat="1" applyFont="1"/>
    <xf numFmtId="0" fontId="35" fillId="0" borderId="0" xfId="9" applyFont="1" applyAlignment="1">
      <alignment horizontal="left" vertical="center"/>
    </xf>
    <xf numFmtId="0" fontId="44" fillId="0" borderId="0" xfId="9" applyFont="1" applyAlignment="1">
      <alignment horizontal="center" vertical="center"/>
    </xf>
    <xf numFmtId="164" fontId="31" fillId="4" borderId="1" xfId="8" applyFont="1" applyFill="1" applyBorder="1" applyAlignment="1">
      <alignment horizontal="center" vertical="center" wrapText="1"/>
    </xf>
    <xf numFmtId="0" fontId="42" fillId="0" borderId="1" xfId="9" applyFont="1" applyBorder="1" applyAlignment="1">
      <alignment horizontal="center" vertical="center"/>
    </xf>
    <xf numFmtId="164" fontId="42" fillId="0" borderId="1" xfId="8" applyFont="1" applyBorder="1"/>
    <xf numFmtId="164" fontId="42" fillId="0" borderId="1" xfId="8" applyFont="1" applyBorder="1" applyAlignment="1">
      <alignment horizontal="center" vertical="center" wrapText="1"/>
    </xf>
    <xf numFmtId="0" fontId="42" fillId="0" borderId="1" xfId="9" applyFont="1" applyBorder="1"/>
    <xf numFmtId="164" fontId="36" fillId="0" borderId="3" xfId="8" applyFont="1" applyBorder="1" applyAlignment="1">
      <alignment horizontal="center" vertical="center" wrapText="1"/>
    </xf>
    <xf numFmtId="164" fontId="36" fillId="0" borderId="1" xfId="8" applyFont="1" applyBorder="1" applyAlignment="1">
      <alignment horizontal="center" vertical="center" wrapText="1"/>
    </xf>
    <xf numFmtId="164" fontId="36" fillId="0" borderId="1" xfId="8" applyFont="1" applyBorder="1" applyAlignment="1">
      <alignment horizontal="center" vertical="center"/>
    </xf>
    <xf numFmtId="164" fontId="42" fillId="0" borderId="39" xfId="8" applyFont="1" applyBorder="1" applyAlignment="1">
      <alignment horizontal="center" vertical="center" wrapText="1"/>
    </xf>
    <xf numFmtId="0" fontId="42" fillId="0" borderId="31" xfId="9" applyFont="1" applyBorder="1"/>
    <xf numFmtId="164" fontId="36" fillId="0" borderId="10" xfId="8" applyFont="1" applyBorder="1" applyAlignment="1">
      <alignment horizontal="center" vertical="center" wrapText="1"/>
    </xf>
    <xf numFmtId="164" fontId="36" fillId="0" borderId="39" xfId="8" applyFont="1" applyBorder="1" applyAlignment="1">
      <alignment horizontal="center" vertical="center" wrapText="1"/>
    </xf>
    <xf numFmtId="164" fontId="36" fillId="0" borderId="39" xfId="8" applyFont="1" applyBorder="1" applyAlignment="1">
      <alignment horizontal="center" vertical="center"/>
    </xf>
    <xf numFmtId="164" fontId="42" fillId="0" borderId="10" xfId="8" applyFont="1" applyBorder="1" applyAlignment="1">
      <alignment horizontal="left" vertical="center" wrapText="1"/>
    </xf>
    <xf numFmtId="0" fontId="42" fillId="0" borderId="2" xfId="9" applyFont="1" applyBorder="1"/>
    <xf numFmtId="164" fontId="36" fillId="0" borderId="22" xfId="8" applyFont="1" applyBorder="1" applyAlignment="1">
      <alignment horizontal="left" vertical="center" wrapText="1"/>
    </xf>
    <xf numFmtId="164" fontId="42" fillId="0" borderId="39" xfId="8" applyFont="1" applyBorder="1" applyAlignment="1">
      <alignment horizontal="left" vertical="center" wrapText="1"/>
    </xf>
    <xf numFmtId="0" fontId="42" fillId="0" borderId="0" xfId="9" applyFont="1"/>
    <xf numFmtId="0" fontId="31" fillId="0" borderId="0" xfId="9" applyFont="1" applyAlignment="1">
      <alignment horizontal="center" vertical="center" wrapText="1"/>
    </xf>
    <xf numFmtId="166" fontId="3" fillId="3" borderId="12" xfId="1" applyNumberFormat="1" applyFont="1" applyFill="1" applyBorder="1" applyAlignment="1">
      <alignment horizontal="center" vertical="center"/>
    </xf>
    <xf numFmtId="0" fontId="19" fillId="0" borderId="20" xfId="0" applyFont="1" applyBorder="1" applyAlignment="1">
      <alignment wrapText="1"/>
    </xf>
    <xf numFmtId="1" fontId="70" fillId="0" borderId="0" xfId="0" applyNumberFormat="1" applyFont="1" applyAlignment="1">
      <alignment horizontal="center"/>
    </xf>
    <xf numFmtId="166" fontId="29" fillId="3" borderId="0" xfId="1" applyNumberFormat="1" applyFont="1" applyFill="1" applyAlignment="1">
      <alignment horizontal="center" vertical="center"/>
    </xf>
    <xf numFmtId="0" fontId="29" fillId="0" borderId="0" xfId="0" applyFont="1" applyAlignment="1">
      <alignment wrapText="1"/>
    </xf>
    <xf numFmtId="0" fontId="40" fillId="0" borderId="1" xfId="0" applyFont="1" applyBorder="1" applyAlignment="1">
      <alignment wrapText="1"/>
    </xf>
    <xf numFmtId="0" fontId="41" fillId="0" borderId="1" xfId="0" applyFont="1" applyBorder="1" applyAlignment="1">
      <alignment wrapText="1"/>
    </xf>
    <xf numFmtId="166" fontId="3" fillId="3" borderId="1" xfId="1" applyNumberFormat="1" applyFont="1" applyFill="1" applyBorder="1" applyAlignment="1">
      <alignment horizontal="center" vertical="center"/>
    </xf>
    <xf numFmtId="0" fontId="3" fillId="0" borderId="31" xfId="0" applyFont="1" applyBorder="1" applyAlignment="1">
      <alignment wrapText="1"/>
    </xf>
    <xf numFmtId="0" fontId="3" fillId="3" borderId="19" xfId="0" applyFont="1" applyFill="1" applyBorder="1" applyAlignment="1">
      <alignment horizontal="center" vertical="center" wrapText="1"/>
    </xf>
    <xf numFmtId="2" fontId="3" fillId="3" borderId="19" xfId="0" applyNumberFormat="1" applyFont="1" applyFill="1" applyBorder="1" applyAlignment="1">
      <alignment horizontal="center" vertical="center" wrapText="1"/>
    </xf>
    <xf numFmtId="0" fontId="19" fillId="0" borderId="20" xfId="0" applyFont="1" applyBorder="1" applyAlignment="1">
      <alignment horizontal="left" vertical="center" wrapText="1"/>
    </xf>
    <xf numFmtId="1" fontId="19" fillId="3" borderId="10" xfId="1" applyNumberFormat="1" applyFont="1" applyFill="1" applyBorder="1" applyAlignment="1">
      <alignment horizontal="center" vertical="center"/>
    </xf>
    <xf numFmtId="0" fontId="29" fillId="2" borderId="10" xfId="0" applyFont="1" applyFill="1" applyBorder="1" applyAlignment="1">
      <alignment horizontal="center" vertical="center" wrapText="1"/>
    </xf>
    <xf numFmtId="164" fontId="2" fillId="6" borderId="19" xfId="1" applyFont="1" applyFill="1" applyBorder="1" applyAlignment="1">
      <alignment horizontal="center" vertical="center"/>
    </xf>
    <xf numFmtId="164" fontId="2" fillId="6" borderId="10" xfId="1" applyFont="1" applyFill="1" applyBorder="1" applyAlignment="1">
      <alignment horizontal="center" vertical="center"/>
    </xf>
    <xf numFmtId="2" fontId="2" fillId="6" borderId="19" xfId="1" applyNumberFormat="1" applyFont="1" applyFill="1" applyBorder="1" applyAlignment="1">
      <alignment horizontal="center" vertical="center"/>
    </xf>
    <xf numFmtId="2" fontId="2" fillId="6" borderId="10" xfId="1" applyNumberFormat="1" applyFont="1" applyFill="1" applyBorder="1" applyAlignment="1">
      <alignment horizontal="center" vertical="center"/>
    </xf>
    <xf numFmtId="0" fontId="29" fillId="4" borderId="14" xfId="0" applyFont="1" applyFill="1" applyBorder="1" applyAlignment="1">
      <alignment horizontal="center" vertical="center" wrapText="1"/>
    </xf>
    <xf numFmtId="0" fontId="29" fillId="4" borderId="15" xfId="0" applyFont="1" applyFill="1" applyBorder="1" applyAlignment="1">
      <alignment horizontal="center" vertical="center" wrapText="1"/>
    </xf>
    <xf numFmtId="164" fontId="3" fillId="0" borderId="0" xfId="1" applyFont="1" applyBorder="1" applyAlignment="1">
      <alignment vertical="center" wrapText="1"/>
    </xf>
    <xf numFmtId="0" fontId="15" fillId="0" borderId="0" xfId="2" applyFont="1" applyAlignment="1">
      <alignment vertical="center" wrapText="1"/>
    </xf>
    <xf numFmtId="164" fontId="3" fillId="0" borderId="0" xfId="1" applyFont="1" applyFill="1" applyBorder="1" applyAlignment="1">
      <alignment vertical="center" wrapText="1"/>
    </xf>
    <xf numFmtId="169" fontId="15" fillId="0" borderId="28" xfId="0" applyNumberFormat="1" applyFont="1" applyBorder="1" applyAlignment="1">
      <alignment horizontal="center" vertical="center"/>
    </xf>
    <xf numFmtId="166" fontId="15" fillId="8" borderId="1" xfId="1" applyNumberFormat="1" applyFont="1" applyFill="1" applyBorder="1" applyAlignment="1">
      <alignment vertical="center" wrapText="1"/>
    </xf>
    <xf numFmtId="43" fontId="3" fillId="0" borderId="1" xfId="0" applyNumberFormat="1" applyFont="1" applyBorder="1" applyAlignment="1">
      <alignment vertical="center" wrapText="1"/>
    </xf>
    <xf numFmtId="0" fontId="3" fillId="0" borderId="0" xfId="0" applyFont="1" applyAlignment="1">
      <alignment vertical="center" wrapText="1"/>
    </xf>
    <xf numFmtId="0" fontId="5" fillId="0" borderId="0" xfId="0" applyFont="1" applyAlignment="1">
      <alignment vertical="center"/>
    </xf>
    <xf numFmtId="0" fontId="58" fillId="0" borderId="0" xfId="0" applyFont="1" applyAlignment="1">
      <alignment wrapText="1"/>
    </xf>
    <xf numFmtId="2" fontId="0" fillId="7" borderId="0" xfId="0" applyNumberFormat="1" applyFill="1"/>
    <xf numFmtId="3" fontId="13" fillId="0" borderId="10" xfId="0" applyNumberFormat="1" applyFont="1" applyBorder="1" applyAlignment="1">
      <alignment horizontal="center" vertical="center"/>
    </xf>
    <xf numFmtId="3" fontId="13" fillId="0" borderId="20" xfId="1" applyNumberFormat="1" applyFont="1" applyBorder="1" applyAlignment="1">
      <alignment horizontal="center" vertical="center"/>
    </xf>
    <xf numFmtId="3" fontId="13" fillId="0" borderId="10" xfId="1" applyNumberFormat="1" applyFont="1" applyBorder="1" applyAlignment="1">
      <alignment horizontal="center" vertical="center"/>
    </xf>
    <xf numFmtId="3" fontId="13" fillId="0" borderId="19" xfId="0" applyNumberFormat="1" applyFont="1" applyBorder="1" applyAlignment="1">
      <alignment horizontal="center" vertical="center"/>
    </xf>
    <xf numFmtId="3" fontId="13" fillId="0" borderId="25" xfId="1" applyNumberFormat="1" applyFont="1" applyBorder="1" applyAlignment="1">
      <alignment horizontal="center" vertical="center"/>
    </xf>
    <xf numFmtId="3" fontId="13" fillId="0" borderId="19" xfId="1" applyNumberFormat="1" applyFont="1" applyBorder="1" applyAlignment="1">
      <alignment horizontal="center" vertical="center"/>
    </xf>
    <xf numFmtId="3" fontId="40" fillId="0" borderId="21" xfId="0" applyNumberFormat="1" applyFont="1" applyBorder="1" applyAlignment="1">
      <alignment horizontal="center" vertical="center"/>
    </xf>
    <xf numFmtId="3" fontId="40" fillId="0" borderId="20" xfId="0" applyNumberFormat="1" applyFont="1" applyBorder="1" applyAlignment="1">
      <alignment horizontal="center" vertical="center"/>
    </xf>
    <xf numFmtId="4" fontId="5" fillId="3" borderId="10" xfId="0" applyNumberFormat="1" applyFont="1" applyFill="1" applyBorder="1" applyAlignment="1">
      <alignment horizontal="center" vertical="center"/>
    </xf>
    <xf numFmtId="164" fontId="0" fillId="0" borderId="1" xfId="1" applyFont="1" applyBorder="1" applyAlignment="1">
      <alignment vertical="center"/>
    </xf>
    <xf numFmtId="164" fontId="3" fillId="3" borderId="19" xfId="1" applyFont="1" applyFill="1" applyBorder="1" applyAlignment="1">
      <alignment horizontal="center" vertical="center"/>
    </xf>
    <xf numFmtId="0" fontId="29" fillId="3" borderId="0" xfId="0" applyFont="1" applyFill="1" applyAlignment="1">
      <alignment horizontal="center" vertical="center" wrapText="1"/>
    </xf>
    <xf numFmtId="2" fontId="29" fillId="3" borderId="0" xfId="0" applyNumberFormat="1" applyFont="1" applyFill="1" applyAlignment="1">
      <alignment horizontal="center" vertical="center" wrapText="1"/>
    </xf>
    <xf numFmtId="2" fontId="29" fillId="3" borderId="0" xfId="0" applyNumberFormat="1" applyFont="1" applyFill="1" applyAlignment="1">
      <alignment horizontal="center" vertical="center"/>
    </xf>
    <xf numFmtId="2" fontId="58" fillId="6" borderId="0" xfId="0" applyNumberFormat="1" applyFont="1" applyFill="1" applyAlignment="1">
      <alignment horizontal="center" vertical="center"/>
    </xf>
    <xf numFmtId="49" fontId="40" fillId="0" borderId="0" xfId="0" applyNumberFormat="1" applyFont="1" applyAlignment="1">
      <alignment horizontal="center" vertical="center" wrapText="1"/>
    </xf>
    <xf numFmtId="49" fontId="40" fillId="4" borderId="1" xfId="0" applyNumberFormat="1" applyFont="1" applyFill="1" applyBorder="1" applyAlignment="1">
      <alignment horizontal="center" vertical="center" wrapText="1"/>
    </xf>
    <xf numFmtId="2" fontId="29" fillId="3" borderId="1" xfId="0" applyNumberFormat="1" applyFont="1" applyFill="1" applyBorder="1" applyAlignment="1">
      <alignment horizontal="center" vertical="center" wrapText="1"/>
    </xf>
    <xf numFmtId="2" fontId="29" fillId="3" borderId="1" xfId="0" applyNumberFormat="1" applyFont="1" applyFill="1" applyBorder="1" applyAlignment="1">
      <alignment horizontal="center" vertical="center"/>
    </xf>
    <xf numFmtId="2" fontId="58" fillId="6" borderId="1" xfId="0" applyNumberFormat="1" applyFont="1" applyFill="1" applyBorder="1" applyAlignment="1">
      <alignment horizontal="center" vertical="center"/>
    </xf>
    <xf numFmtId="4" fontId="19" fillId="0" borderId="2" xfId="0" applyNumberFormat="1" applyFont="1" applyBorder="1" applyAlignment="1">
      <alignment vertical="center"/>
    </xf>
    <xf numFmtId="0" fontId="32" fillId="0" borderId="10" xfId="0" applyFont="1" applyBorder="1" applyAlignment="1">
      <alignment horizontal="center" vertical="center" wrapText="1"/>
    </xf>
    <xf numFmtId="0" fontId="32" fillId="0" borderId="0" xfId="0" applyFont="1" applyAlignment="1">
      <alignment horizontal="center" vertical="center" wrapText="1"/>
    </xf>
    <xf numFmtId="164" fontId="29" fillId="3" borderId="1" xfId="1" applyFont="1" applyFill="1" applyBorder="1" applyAlignment="1">
      <alignment horizontal="center" vertical="center"/>
    </xf>
    <xf numFmtId="164" fontId="58" fillId="6" borderId="1" xfId="1" applyFont="1" applyFill="1" applyBorder="1" applyAlignment="1">
      <alignment horizontal="center" vertical="center"/>
    </xf>
    <xf numFmtId="166" fontId="3" fillId="0" borderId="2" xfId="1" applyNumberFormat="1" applyFont="1" applyFill="1" applyBorder="1" applyAlignment="1">
      <alignment horizontal="center" vertical="center"/>
    </xf>
    <xf numFmtId="4" fontId="34" fillId="8" borderId="10" xfId="0" applyNumberFormat="1" applyFont="1" applyFill="1" applyBorder="1"/>
    <xf numFmtId="166" fontId="38" fillId="8" borderId="1" xfId="1" applyNumberFormat="1" applyFont="1" applyFill="1" applyBorder="1" applyAlignment="1">
      <alignment vertical="center" wrapText="1"/>
    </xf>
    <xf numFmtId="0" fontId="32" fillId="0" borderId="20" xfId="0" applyFont="1" applyBorder="1" applyAlignment="1">
      <alignment horizontal="center" vertical="center" wrapText="1"/>
    </xf>
    <xf numFmtId="4" fontId="34" fillId="8" borderId="29" xfId="0" applyNumberFormat="1" applyFont="1" applyFill="1" applyBorder="1"/>
    <xf numFmtId="0" fontId="34" fillId="0" borderId="10" xfId="0" applyFont="1" applyBorder="1" applyAlignment="1">
      <alignment horizontal="center" vertical="center" wrapText="1"/>
    </xf>
    <xf numFmtId="0" fontId="42" fillId="0" borderId="10" xfId="0" applyFont="1" applyBorder="1" applyAlignment="1">
      <alignment horizontal="center" vertical="center" wrapText="1"/>
    </xf>
    <xf numFmtId="0" fontId="31" fillId="0" borderId="10" xfId="0" applyFont="1" applyBorder="1" applyAlignment="1">
      <alignment horizontal="center" vertical="center" wrapText="1"/>
    </xf>
    <xf numFmtId="4" fontId="34" fillId="8" borderId="10" xfId="0" applyNumberFormat="1" applyFont="1" applyFill="1" applyBorder="1" applyAlignment="1">
      <alignment vertical="center"/>
    </xf>
    <xf numFmtId="4" fontId="34" fillId="8" borderId="27" xfId="0" applyNumberFormat="1" applyFont="1" applyFill="1" applyBorder="1" applyAlignment="1">
      <alignment vertical="center"/>
    </xf>
    <xf numFmtId="4" fontId="55" fillId="0" borderId="10" xfId="0" applyNumberFormat="1" applyFont="1" applyBorder="1" applyAlignment="1">
      <alignment vertical="center"/>
    </xf>
    <xf numFmtId="4" fontId="32" fillId="0" borderId="10" xfId="0" applyNumberFormat="1" applyFont="1" applyBorder="1" applyAlignment="1">
      <alignment vertical="center"/>
    </xf>
    <xf numFmtId="4" fontId="32" fillId="0" borderId="27" xfId="0" applyNumberFormat="1" applyFont="1" applyBorder="1" applyAlignment="1">
      <alignment vertical="center"/>
    </xf>
    <xf numFmtId="0" fontId="72" fillId="0" borderId="0" xfId="0" applyFont="1"/>
    <xf numFmtId="165" fontId="5" fillId="0" borderId="0" xfId="0" applyNumberFormat="1" applyFont="1" applyAlignment="1">
      <alignment wrapText="1"/>
    </xf>
    <xf numFmtId="0" fontId="25" fillId="4" borderId="1" xfId="0" applyFont="1" applyFill="1" applyBorder="1"/>
    <xf numFmtId="3" fontId="40" fillId="0" borderId="25" xfId="0" applyNumberFormat="1" applyFont="1" applyBorder="1" applyAlignment="1">
      <alignment horizontal="center" vertical="center"/>
    </xf>
    <xf numFmtId="3" fontId="40" fillId="0" borderId="26" xfId="0" applyNumberFormat="1" applyFont="1" applyBorder="1" applyAlignment="1">
      <alignment horizontal="center" vertical="center"/>
    </xf>
    <xf numFmtId="3" fontId="40" fillId="0" borderId="30" xfId="0" applyNumberFormat="1" applyFont="1" applyBorder="1" applyAlignment="1">
      <alignment horizontal="center" vertical="center"/>
    </xf>
    <xf numFmtId="3" fontId="40" fillId="0" borderId="1" xfId="0" applyNumberFormat="1" applyFont="1" applyBorder="1" applyAlignment="1">
      <alignment horizontal="center" vertical="center"/>
    </xf>
    <xf numFmtId="1" fontId="40" fillId="0" borderId="36" xfId="0" applyNumberFormat="1" applyFont="1" applyBorder="1" applyAlignment="1">
      <alignment horizontal="center" vertical="center"/>
    </xf>
    <xf numFmtId="1" fontId="40" fillId="0" borderId="1" xfId="0" applyNumberFormat="1" applyFont="1" applyBorder="1" applyAlignment="1">
      <alignment horizontal="center" vertical="center"/>
    </xf>
    <xf numFmtId="1" fontId="40" fillId="0" borderId="4" xfId="0" applyNumberFormat="1" applyFont="1" applyBorder="1" applyAlignment="1">
      <alignment horizontal="center" vertical="center"/>
    </xf>
    <xf numFmtId="0" fontId="31" fillId="0" borderId="1" xfId="0" applyFont="1" applyBorder="1" applyAlignment="1">
      <alignment horizontal="left" vertical="center" wrapText="1"/>
    </xf>
    <xf numFmtId="0" fontId="29" fillId="8"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8" xfId="0" applyFont="1" applyFill="1" applyBorder="1" applyAlignment="1">
      <alignment horizontal="center" vertical="center" wrapText="1"/>
    </xf>
    <xf numFmtId="49" fontId="13" fillId="8" borderId="10" xfId="0" applyNumberFormat="1" applyFont="1" applyFill="1" applyBorder="1" applyAlignment="1">
      <alignment horizontal="center" vertical="center" wrapText="1"/>
    </xf>
    <xf numFmtId="0" fontId="13" fillId="8" borderId="1" xfId="0" applyFont="1" applyFill="1" applyBorder="1" applyAlignment="1">
      <alignment horizontal="center" vertical="center" wrapText="1"/>
    </xf>
    <xf numFmtId="1" fontId="3" fillId="8" borderId="1" xfId="0" applyNumberFormat="1" applyFont="1" applyFill="1" applyBorder="1" applyAlignment="1">
      <alignment horizontal="center" vertical="center"/>
    </xf>
    <xf numFmtId="1" fontId="3" fillId="8" borderId="31" xfId="0" applyNumberFormat="1" applyFont="1" applyFill="1" applyBorder="1" applyAlignment="1">
      <alignment horizontal="center" vertical="center" wrapText="1"/>
    </xf>
    <xf numFmtId="0" fontId="31" fillId="8" borderId="0" xfId="0" applyFont="1" applyFill="1"/>
    <xf numFmtId="0" fontId="37" fillId="0" borderId="0" xfId="0" applyFont="1"/>
    <xf numFmtId="0" fontId="9" fillId="0" borderId="0" xfId="0" applyFont="1" applyAlignment="1">
      <alignment vertical="center"/>
    </xf>
    <xf numFmtId="0" fontId="17" fillId="0" borderId="0" xfId="0" applyFont="1" applyAlignment="1">
      <alignment vertical="center"/>
    </xf>
    <xf numFmtId="0" fontId="29" fillId="0" borderId="1" xfId="0" applyFont="1" applyBorder="1" applyAlignment="1">
      <alignment vertical="center" wrapText="1"/>
    </xf>
    <xf numFmtId="0" fontId="38" fillId="0" borderId="0" xfId="0" applyFont="1" applyAlignment="1">
      <alignment vertical="center"/>
    </xf>
    <xf numFmtId="0" fontId="19" fillId="0" borderId="13" xfId="0" applyFont="1" applyBorder="1" applyAlignment="1">
      <alignment vertical="center"/>
    </xf>
    <xf numFmtId="10" fontId="19" fillId="0" borderId="13" xfId="0" applyNumberFormat="1" applyFont="1" applyBorder="1" applyAlignment="1">
      <alignment vertical="center"/>
    </xf>
    <xf numFmtId="0" fontId="19" fillId="0" borderId="40" xfId="0" applyFont="1" applyBorder="1" applyAlignment="1">
      <alignment vertical="center"/>
    </xf>
    <xf numFmtId="3" fontId="19" fillId="0" borderId="10" xfId="0" applyNumberFormat="1" applyFont="1" applyBorder="1" applyAlignment="1">
      <alignment horizontal="center" vertical="center"/>
    </xf>
    <xf numFmtId="0" fontId="27" fillId="0" borderId="7" xfId="0" applyFont="1" applyBorder="1" applyAlignment="1">
      <alignment horizontal="center" vertical="center" wrapText="1"/>
    </xf>
    <xf numFmtId="0" fontId="27" fillId="0" borderId="10" xfId="0" applyFont="1" applyBorder="1" applyAlignment="1">
      <alignment horizontal="center" vertical="center" wrapText="1"/>
    </xf>
    <xf numFmtId="3" fontId="19" fillId="0" borderId="10" xfId="0" applyNumberFormat="1" applyFont="1" applyBorder="1" applyAlignment="1">
      <alignment vertical="center"/>
    </xf>
    <xf numFmtId="4" fontId="19" fillId="0" borderId="13" xfId="0" applyNumberFormat="1" applyFont="1" applyBorder="1" applyAlignment="1">
      <alignment vertical="center"/>
    </xf>
    <xf numFmtId="166" fontId="29" fillId="16" borderId="2" xfId="1" applyNumberFormat="1" applyFont="1" applyFill="1" applyBorder="1" applyAlignment="1">
      <alignment horizontal="center" vertical="center"/>
    </xf>
    <xf numFmtId="3" fontId="3" fillId="0" borderId="2" xfId="0" applyNumberFormat="1" applyFont="1" applyBorder="1" applyAlignment="1">
      <alignment horizontal="center" vertical="center" wrapText="1"/>
    </xf>
    <xf numFmtId="3" fontId="3" fillId="3" borderId="2" xfId="0" applyNumberFormat="1" applyFont="1" applyFill="1" applyBorder="1" applyAlignment="1">
      <alignment horizontal="center" vertical="center"/>
    </xf>
    <xf numFmtId="0" fontId="29" fillId="0" borderId="2" xfId="0" applyFont="1" applyBorder="1" applyAlignment="1">
      <alignment horizontal="center" vertical="center" wrapText="1"/>
    </xf>
    <xf numFmtId="0" fontId="4" fillId="6" borderId="9" xfId="0" applyFont="1" applyFill="1" applyBorder="1" applyAlignment="1">
      <alignment wrapText="1"/>
    </xf>
    <xf numFmtId="0" fontId="3" fillId="0" borderId="10" xfId="0" applyFont="1" applyBorder="1" applyAlignment="1">
      <alignment horizontal="center" vertical="center" wrapText="1"/>
    </xf>
    <xf numFmtId="3" fontId="38" fillId="0" borderId="0" xfId="0" applyNumberFormat="1" applyFont="1" applyAlignment="1">
      <alignment vertical="center"/>
    </xf>
    <xf numFmtId="0" fontId="19" fillId="8" borderId="13" xfId="0" applyFont="1" applyFill="1" applyBorder="1" applyAlignment="1">
      <alignment vertical="center"/>
    </xf>
    <xf numFmtId="4" fontId="19" fillId="8" borderId="2" xfId="0" applyNumberFormat="1" applyFont="1" applyFill="1" applyBorder="1" applyAlignment="1">
      <alignment vertical="center"/>
    </xf>
    <xf numFmtId="3" fontId="19" fillId="8" borderId="10" xfId="0" applyNumberFormat="1" applyFont="1" applyFill="1" applyBorder="1" applyAlignment="1">
      <alignment horizontal="center" vertical="center"/>
    </xf>
    <xf numFmtId="0" fontId="15" fillId="8" borderId="0" xfId="0" applyFont="1" applyFill="1" applyAlignment="1">
      <alignment vertical="center"/>
    </xf>
    <xf numFmtId="0" fontId="19" fillId="8" borderId="40" xfId="0" applyFont="1" applyFill="1" applyBorder="1" applyAlignment="1">
      <alignment vertical="center"/>
    </xf>
    <xf numFmtId="0" fontId="29" fillId="0" borderId="20" xfId="0" applyFont="1" applyBorder="1" applyAlignment="1">
      <alignment wrapText="1"/>
    </xf>
    <xf numFmtId="0" fontId="29" fillId="2" borderId="20" xfId="0" applyFont="1" applyFill="1" applyBorder="1" applyAlignment="1">
      <alignment horizontal="center" vertical="center" wrapText="1"/>
    </xf>
    <xf numFmtId="168" fontId="3" fillId="0" borderId="10" xfId="0" applyNumberFormat="1" applyFont="1" applyBorder="1" applyAlignment="1">
      <alignment vertical="center" wrapText="1"/>
    </xf>
    <xf numFmtId="167" fontId="40" fillId="0" borderId="1" xfId="4" applyNumberFormat="1" applyFont="1" applyBorder="1" applyAlignment="1" applyProtection="1">
      <alignment horizontal="center" wrapText="1"/>
      <protection locked="0"/>
    </xf>
    <xf numFmtId="2" fontId="53" fillId="0" borderId="1" xfId="4" applyNumberFormat="1" applyFont="1" applyBorder="1" applyAlignment="1" applyProtection="1">
      <alignment horizontal="center" wrapText="1"/>
      <protection locked="0"/>
    </xf>
    <xf numFmtId="0" fontId="38" fillId="8" borderId="1" xfId="3" applyFont="1" applyFill="1" applyBorder="1" applyAlignment="1">
      <alignment horizontal="center" vertical="center" wrapText="1"/>
    </xf>
    <xf numFmtId="0" fontId="38" fillId="8" borderId="0" xfId="3" applyFont="1" applyFill="1" applyAlignment="1">
      <alignment horizontal="right"/>
    </xf>
    <xf numFmtId="0" fontId="38" fillId="8" borderId="0" xfId="3" applyFont="1" applyFill="1"/>
    <xf numFmtId="49" fontId="13" fillId="8" borderId="20" xfId="0" applyNumberFormat="1"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15" fillId="0" borderId="0" xfId="0" applyFont="1" applyAlignment="1">
      <alignment vertical="center" wrapText="1"/>
    </xf>
    <xf numFmtId="0" fontId="27" fillId="0" borderId="12" xfId="0" applyFont="1" applyBorder="1" applyAlignment="1">
      <alignment horizontal="center" vertical="center" wrapText="1"/>
    </xf>
    <xf numFmtId="169" fontId="15" fillId="8" borderId="28" xfId="0" applyNumberFormat="1" applyFont="1" applyFill="1" applyBorder="1" applyAlignment="1">
      <alignment horizontal="center" vertical="center"/>
    </xf>
    <xf numFmtId="4" fontId="26" fillId="8" borderId="13" xfId="0" applyNumberFormat="1" applyFont="1" applyFill="1" applyBorder="1" applyAlignment="1">
      <alignment vertical="center"/>
    </xf>
    <xf numFmtId="4" fontId="19" fillId="0" borderId="13" xfId="0" applyNumberFormat="1" applyFont="1" applyBorder="1" applyAlignment="1">
      <alignment horizontal="right" vertical="center"/>
    </xf>
    <xf numFmtId="4" fontId="19" fillId="8" borderId="13" xfId="0" applyNumberFormat="1" applyFont="1" applyFill="1" applyBorder="1" applyAlignment="1">
      <alignment horizontal="right" vertical="center"/>
    </xf>
    <xf numFmtId="0" fontId="31" fillId="4" borderId="1" xfId="3" applyFont="1" applyFill="1" applyBorder="1" applyAlignment="1">
      <alignment horizontal="center" vertical="center"/>
    </xf>
    <xf numFmtId="0" fontId="32" fillId="0" borderId="0" xfId="0" applyFont="1" applyAlignment="1">
      <alignment wrapText="1"/>
    </xf>
    <xf numFmtId="9" fontId="32" fillId="0" borderId="0" xfId="0" applyNumberFormat="1" applyFont="1"/>
    <xf numFmtId="0" fontId="55" fillId="0" borderId="1" xfId="0" applyFont="1" applyBorder="1" applyAlignment="1">
      <alignment wrapText="1"/>
    </xf>
    <xf numFmtId="166" fontId="55" fillId="0" borderId="2" xfId="1" applyNumberFormat="1" applyFont="1" applyFill="1" applyBorder="1" applyAlignment="1">
      <alignment horizontal="center" vertical="center" wrapText="1"/>
    </xf>
    <xf numFmtId="166" fontId="55" fillId="3" borderId="2" xfId="1" applyNumberFormat="1" applyFont="1" applyFill="1" applyBorder="1" applyAlignment="1">
      <alignment horizontal="center" vertical="center"/>
    </xf>
    <xf numFmtId="0" fontId="32" fillId="4" borderId="1" xfId="0" applyFont="1" applyFill="1" applyBorder="1" applyAlignment="1">
      <alignment horizontal="center" vertical="center"/>
    </xf>
    <xf numFmtId="166" fontId="32" fillId="0" borderId="0" xfId="1" applyNumberFormat="1" applyFont="1"/>
    <xf numFmtId="169" fontId="37" fillId="0" borderId="0" xfId="0" applyNumberFormat="1" applyFont="1"/>
    <xf numFmtId="2" fontId="32" fillId="0" borderId="1" xfId="0" applyNumberFormat="1" applyFont="1" applyBorder="1"/>
    <xf numFmtId="166" fontId="32" fillId="0" borderId="1" xfId="1" applyNumberFormat="1" applyFont="1" applyFill="1" applyBorder="1"/>
    <xf numFmtId="164" fontId="32" fillId="0" borderId="1" xfId="1" applyFont="1" applyFill="1" applyBorder="1"/>
    <xf numFmtId="166" fontId="32" fillId="0" borderId="1" xfId="1" applyNumberFormat="1" applyFont="1" applyFill="1" applyBorder="1" applyAlignment="1">
      <alignment horizontal="center" vertical="center"/>
    </xf>
    <xf numFmtId="43" fontId="32" fillId="0" borderId="0" xfId="0" applyNumberFormat="1" applyFont="1"/>
    <xf numFmtId="4" fontId="32" fillId="0" borderId="0" xfId="0" applyNumberFormat="1" applyFont="1"/>
    <xf numFmtId="0" fontId="37" fillId="0" borderId="10" xfId="0" applyFont="1" applyBorder="1"/>
    <xf numFmtId="0" fontId="32" fillId="0" borderId="10" xfId="0" applyFont="1" applyBorder="1" applyAlignment="1">
      <alignment horizontal="center" vertical="center"/>
    </xf>
    <xf numFmtId="0" fontId="37" fillId="0" borderId="48" xfId="0" applyFont="1" applyBorder="1" applyAlignment="1">
      <alignment horizontal="center" vertical="center"/>
    </xf>
    <xf numFmtId="0" fontId="32" fillId="0" borderId="22" xfId="0" applyFont="1" applyBorder="1" applyAlignment="1">
      <alignment horizontal="center" vertical="center"/>
    </xf>
    <xf numFmtId="0" fontId="37" fillId="0" borderId="10" xfId="0" applyFont="1" applyBorder="1" applyAlignment="1">
      <alignment horizontal="center"/>
    </xf>
    <xf numFmtId="3" fontId="32" fillId="0" borderId="10" xfId="0" applyNumberFormat="1" applyFont="1" applyBorder="1" applyAlignment="1">
      <alignment horizontal="center" vertical="center"/>
    </xf>
    <xf numFmtId="3" fontId="55" fillId="0" borderId="10" xfId="0" applyNumberFormat="1" applyFont="1" applyBorder="1" applyAlignment="1">
      <alignment horizontal="center"/>
    </xf>
    <xf numFmtId="3" fontId="74" fillId="0" borderId="48" xfId="0" applyNumberFormat="1" applyFont="1" applyBorder="1" applyAlignment="1">
      <alignment horizontal="center"/>
    </xf>
    <xf numFmtId="3" fontId="55" fillId="0" borderId="22" xfId="0" applyNumberFormat="1" applyFont="1" applyBorder="1" applyAlignment="1">
      <alignment horizontal="center"/>
    </xf>
    <xf numFmtId="3" fontId="37" fillId="0" borderId="10" xfId="0" applyNumberFormat="1" applyFont="1" applyBorder="1" applyAlignment="1">
      <alignment horizontal="center"/>
    </xf>
    <xf numFmtId="3" fontId="32" fillId="8" borderId="1" xfId="0" applyNumberFormat="1" applyFont="1" applyFill="1" applyBorder="1" applyAlignment="1">
      <alignment horizontal="center" vertical="center"/>
    </xf>
    <xf numFmtId="0" fontId="55" fillId="0" borderId="0" xfId="0" applyFont="1" applyAlignment="1">
      <alignment horizontal="left" wrapText="1"/>
    </xf>
    <xf numFmtId="3" fontId="55" fillId="0" borderId="0" xfId="0" applyNumberFormat="1" applyFont="1" applyAlignment="1">
      <alignment horizontal="center" vertical="center"/>
    </xf>
    <xf numFmtId="0" fontId="75" fillId="0" borderId="0" xfId="0" applyFont="1"/>
    <xf numFmtId="3" fontId="55" fillId="8" borderId="1" xfId="0" applyNumberFormat="1" applyFont="1" applyFill="1" applyBorder="1" applyAlignment="1">
      <alignment horizontal="center" vertical="center"/>
    </xf>
    <xf numFmtId="0" fontId="34" fillId="16" borderId="1" xfId="0" applyFont="1" applyFill="1" applyBorder="1" applyAlignment="1">
      <alignment horizontal="center" vertical="center" wrapText="1"/>
    </xf>
    <xf numFmtId="3" fontId="15" fillId="0" borderId="1" xfId="3" applyNumberFormat="1" applyFont="1" applyBorder="1" applyAlignment="1">
      <alignment horizontal="right"/>
    </xf>
    <xf numFmtId="3" fontId="15" fillId="8" borderId="1" xfId="3" applyNumberFormat="1" applyFont="1" applyFill="1" applyBorder="1" applyAlignment="1">
      <alignment horizontal="right"/>
    </xf>
    <xf numFmtId="0" fontId="57" fillId="0" borderId="0" xfId="9" applyFont="1"/>
    <xf numFmtId="0" fontId="32" fillId="0" borderId="0" xfId="9" applyFont="1" applyAlignment="1">
      <alignment vertical="center" wrapText="1"/>
    </xf>
    <xf numFmtId="0" fontId="32" fillId="0" borderId="0" xfId="9" applyFont="1"/>
    <xf numFmtId="0" fontId="32" fillId="0" borderId="0" xfId="9" applyFont="1" applyAlignment="1">
      <alignment horizontal="left" vertical="center" wrapText="1"/>
    </xf>
    <xf numFmtId="0" fontId="32" fillId="0" borderId="0" xfId="9" applyFont="1" applyAlignment="1">
      <alignment horizontal="left"/>
    </xf>
    <xf numFmtId="0" fontId="60" fillId="0" borderId="0" xfId="2" applyFont="1"/>
    <xf numFmtId="0" fontId="32" fillId="8" borderId="1" xfId="3" applyFont="1" applyFill="1" applyBorder="1" applyAlignment="1">
      <alignment horizontal="left" vertical="center" wrapText="1"/>
    </xf>
    <xf numFmtId="3" fontId="42" fillId="0" borderId="1" xfId="3" applyNumberFormat="1" applyFont="1" applyBorder="1" applyAlignment="1">
      <alignment horizontal="center" vertical="center"/>
    </xf>
    <xf numFmtId="3" fontId="62" fillId="0" borderId="1" xfId="3" applyNumberFormat="1" applyFont="1" applyBorder="1" applyAlignment="1">
      <alignment horizontal="center" vertical="center"/>
    </xf>
    <xf numFmtId="0" fontId="5" fillId="0" borderId="13" xfId="0" applyFont="1" applyBorder="1" applyAlignment="1">
      <alignment vertical="center"/>
    </xf>
    <xf numFmtId="3" fontId="5" fillId="0" borderId="13" xfId="0" applyNumberFormat="1" applyFont="1" applyBorder="1" applyAlignment="1">
      <alignment vertical="center"/>
    </xf>
    <xf numFmtId="3" fontId="5" fillId="0" borderId="0" xfId="0" applyNumberFormat="1" applyFont="1" applyAlignment="1">
      <alignment vertical="center"/>
    </xf>
    <xf numFmtId="0" fontId="21" fillId="0" borderId="0" xfId="0" applyFont="1" applyAlignment="1">
      <alignment vertical="center"/>
    </xf>
    <xf numFmtId="3" fontId="5" fillId="0" borderId="13" xfId="0" applyNumberFormat="1" applyFont="1" applyBorder="1" applyAlignment="1">
      <alignment horizontal="center" vertical="center"/>
    </xf>
    <xf numFmtId="0" fontId="5" fillId="0" borderId="0" xfId="0" applyFont="1" applyAlignment="1">
      <alignment horizontal="center"/>
    </xf>
    <xf numFmtId="0" fontId="21" fillId="0" borderId="0" xfId="0" applyFont="1" applyAlignment="1">
      <alignment horizontal="center"/>
    </xf>
    <xf numFmtId="0" fontId="5" fillId="0" borderId="13" xfId="0" applyFont="1" applyBorder="1" applyAlignment="1">
      <alignment horizontal="center" vertical="center"/>
    </xf>
    <xf numFmtId="9" fontId="5" fillId="0" borderId="13" xfId="0" applyNumberFormat="1" applyFont="1" applyBorder="1" applyAlignment="1">
      <alignment horizontal="center" vertical="center"/>
    </xf>
    <xf numFmtId="0" fontId="5" fillId="0" borderId="0" xfId="0" applyFont="1" applyAlignment="1">
      <alignment horizontal="left" vertical="center"/>
    </xf>
    <xf numFmtId="0" fontId="21" fillId="0" borderId="0" xfId="0" applyFont="1" applyAlignment="1">
      <alignment horizontal="left" vertical="center"/>
    </xf>
    <xf numFmtId="3" fontId="5" fillId="0" borderId="13" xfId="0" applyNumberFormat="1" applyFont="1" applyBorder="1" applyAlignment="1">
      <alignment horizontal="right" vertical="center"/>
    </xf>
    <xf numFmtId="0" fontId="5" fillId="0" borderId="13" xfId="0" applyFont="1" applyBorder="1" applyAlignment="1">
      <alignment horizontal="right" vertical="center"/>
    </xf>
    <xf numFmtId="0" fontId="19" fillId="0" borderId="13" xfId="0" applyFont="1" applyBorder="1" applyAlignment="1">
      <alignment vertical="center" wrapText="1"/>
    </xf>
    <xf numFmtId="0" fontId="5" fillId="8" borderId="0" xfId="0" applyFont="1" applyFill="1" applyAlignment="1">
      <alignment vertical="center"/>
    </xf>
    <xf numFmtId="0" fontId="55" fillId="8" borderId="4" xfId="0" applyFont="1" applyFill="1" applyBorder="1" applyAlignment="1">
      <alignment vertical="center" wrapText="1"/>
    </xf>
    <xf numFmtId="9" fontId="5" fillId="16" borderId="1" xfId="0" applyNumberFormat="1" applyFont="1" applyFill="1" applyBorder="1" applyAlignment="1">
      <alignment horizontal="center" vertical="center"/>
    </xf>
    <xf numFmtId="0" fontId="5" fillId="16" borderId="2" xfId="0" applyFont="1" applyFill="1" applyBorder="1" applyAlignment="1">
      <alignment vertical="center"/>
    </xf>
    <xf numFmtId="0" fontId="19" fillId="0" borderId="13" xfId="0" applyFont="1" applyBorder="1" applyAlignment="1">
      <alignment horizontal="center" vertical="center"/>
    </xf>
    <xf numFmtId="0" fontId="5" fillId="0" borderId="13" xfId="0" applyFont="1" applyBorder="1" applyAlignment="1">
      <alignment vertical="center" wrapText="1"/>
    </xf>
    <xf numFmtId="0" fontId="64" fillId="0" borderId="0" xfId="0" applyFont="1" applyAlignment="1">
      <alignment vertical="center"/>
    </xf>
    <xf numFmtId="0" fontId="64" fillId="8" borderId="0" xfId="0" applyFont="1" applyFill="1" applyAlignment="1">
      <alignment horizontal="left" vertical="center" wrapText="1"/>
    </xf>
    <xf numFmtId="0" fontId="19" fillId="8" borderId="41" xfId="0" applyFont="1" applyFill="1" applyBorder="1" applyAlignment="1">
      <alignment horizontal="center"/>
    </xf>
    <xf numFmtId="9" fontId="5" fillId="8" borderId="13" xfId="0" applyNumberFormat="1" applyFont="1" applyFill="1" applyBorder="1" applyAlignment="1">
      <alignment horizontal="center" vertical="center"/>
    </xf>
    <xf numFmtId="0" fontId="19" fillId="8" borderId="13" xfId="0" applyFont="1" applyFill="1" applyBorder="1" applyAlignment="1">
      <alignment horizontal="center" vertical="center"/>
    </xf>
    <xf numFmtId="3" fontId="19" fillId="8" borderId="13" xfId="0" applyNumberFormat="1" applyFont="1" applyFill="1" applyBorder="1" applyAlignment="1">
      <alignment horizontal="right" vertical="center"/>
    </xf>
    <xf numFmtId="0" fontId="19" fillId="8" borderId="0" xfId="0" applyFont="1" applyFill="1" applyAlignment="1">
      <alignment vertical="center"/>
    </xf>
    <xf numFmtId="0" fontId="5" fillId="0" borderId="10" xfId="0" applyFont="1" applyBorder="1" applyAlignment="1">
      <alignment vertical="center"/>
    </xf>
    <xf numFmtId="0" fontId="5" fillId="0" borderId="10" xfId="0" applyFont="1" applyBorder="1" applyAlignment="1">
      <alignment horizontal="left" vertical="center"/>
    </xf>
    <xf numFmtId="0" fontId="5" fillId="8" borderId="10" xfId="0" applyFont="1" applyFill="1" applyBorder="1" applyAlignment="1">
      <alignment vertical="center"/>
    </xf>
    <xf numFmtId="0" fontId="64" fillId="8" borderId="10" xfId="0" applyFont="1" applyFill="1" applyBorder="1" applyAlignment="1">
      <alignment horizontal="left" vertical="center"/>
    </xf>
    <xf numFmtId="0" fontId="62" fillId="8" borderId="1" xfId="0" applyFont="1" applyFill="1" applyBorder="1" applyAlignment="1">
      <alignment vertical="center" wrapText="1"/>
    </xf>
    <xf numFmtId="0" fontId="64" fillId="8" borderId="18" xfId="0" applyFont="1" applyFill="1" applyBorder="1" applyAlignment="1">
      <alignment vertical="center" wrapText="1"/>
    </xf>
    <xf numFmtId="3" fontId="5" fillId="0" borderId="41" xfId="0" applyNumberFormat="1" applyFont="1" applyBorder="1" applyAlignment="1">
      <alignment horizontal="center" vertical="center"/>
    </xf>
    <xf numFmtId="0" fontId="64" fillId="8" borderId="19" xfId="0" applyFont="1" applyFill="1" applyBorder="1" applyAlignment="1">
      <alignment vertical="center"/>
    </xf>
    <xf numFmtId="0" fontId="19" fillId="8" borderId="12" xfId="0" applyFont="1" applyFill="1" applyBorder="1" applyAlignment="1">
      <alignment vertical="center"/>
    </xf>
    <xf numFmtId="9" fontId="19" fillId="8" borderId="41" xfId="0" applyNumberFormat="1" applyFont="1" applyFill="1" applyBorder="1" applyAlignment="1">
      <alignment horizontal="center" vertical="center"/>
    </xf>
    <xf numFmtId="4" fontId="19" fillId="8" borderId="41" xfId="0" applyNumberFormat="1" applyFont="1" applyFill="1" applyBorder="1" applyAlignment="1">
      <alignment vertical="center"/>
    </xf>
    <xf numFmtId="3" fontId="19" fillId="8" borderId="41" xfId="0" applyNumberFormat="1" applyFont="1" applyFill="1" applyBorder="1" applyAlignment="1">
      <alignment horizontal="center" vertical="center"/>
    </xf>
    <xf numFmtId="3" fontId="19" fillId="8" borderId="41" xfId="0" applyNumberFormat="1" applyFont="1" applyFill="1" applyBorder="1" applyAlignment="1">
      <alignment vertical="center"/>
    </xf>
    <xf numFmtId="0" fontId="62" fillId="8" borderId="3" xfId="0" applyFont="1" applyFill="1" applyBorder="1" applyAlignment="1">
      <alignment vertical="center" wrapText="1"/>
    </xf>
    <xf numFmtId="0" fontId="5" fillId="0" borderId="10" xfId="0" applyFont="1" applyBorder="1" applyAlignment="1">
      <alignment vertical="center" wrapText="1"/>
    </xf>
    <xf numFmtId="0" fontId="5" fillId="0" borderId="20" xfId="0" applyFont="1" applyBorder="1" applyAlignment="1">
      <alignment vertical="center"/>
    </xf>
    <xf numFmtId="0" fontId="5" fillId="0" borderId="41" xfId="0" applyFont="1" applyBorder="1" applyAlignment="1">
      <alignment horizontal="left" vertical="center" wrapText="1"/>
    </xf>
    <xf numFmtId="3" fontId="5" fillId="0" borderId="40" xfId="0" applyNumberFormat="1" applyFont="1" applyBorder="1" applyAlignment="1">
      <alignment vertical="center"/>
    </xf>
    <xf numFmtId="3" fontId="5" fillId="0" borderId="40" xfId="0" applyNumberFormat="1" applyFont="1" applyBorder="1" applyAlignment="1">
      <alignment horizontal="right" vertical="center"/>
    </xf>
    <xf numFmtId="0" fontId="55" fillId="8" borderId="22" xfId="0" applyFont="1" applyFill="1" applyBorder="1" applyAlignment="1">
      <alignment vertical="center" wrapText="1"/>
    </xf>
    <xf numFmtId="3" fontId="19" fillId="0" borderId="1" xfId="0" applyNumberFormat="1" applyFont="1" applyBorder="1" applyAlignment="1">
      <alignment horizontal="center" vertical="center" wrapText="1"/>
    </xf>
    <xf numFmtId="0" fontId="64" fillId="0" borderId="40" xfId="0" applyFont="1" applyBorder="1" applyAlignment="1">
      <alignment vertical="center" wrapText="1"/>
    </xf>
    <xf numFmtId="0" fontId="5" fillId="0" borderId="22" xfId="0" applyFont="1" applyBorder="1" applyAlignment="1">
      <alignment vertical="center"/>
    </xf>
    <xf numFmtId="0" fontId="32" fillId="8" borderId="11" xfId="0" applyFont="1" applyFill="1" applyBorder="1" applyAlignment="1">
      <alignment vertical="center" wrapText="1"/>
    </xf>
    <xf numFmtId="0" fontId="63" fillId="0" borderId="0" xfId="0" applyFont="1"/>
    <xf numFmtId="0" fontId="61" fillId="16" borderId="10" xfId="0" applyFont="1" applyFill="1" applyBorder="1" applyAlignment="1">
      <alignment horizontal="center" vertical="center" wrapText="1"/>
    </xf>
    <xf numFmtId="2" fontId="25" fillId="0" borderId="0" xfId="0" applyNumberFormat="1" applyFont="1"/>
    <xf numFmtId="0" fontId="57" fillId="0" borderId="1" xfId="0" applyFont="1" applyBorder="1" applyAlignment="1">
      <alignment wrapText="1"/>
    </xf>
    <xf numFmtId="0" fontId="16" fillId="0" borderId="0" xfId="0" applyFont="1" applyAlignment="1">
      <alignment horizontal="center" vertical="center" wrapText="1"/>
    </xf>
    <xf numFmtId="0" fontId="15" fillId="0" borderId="0" xfId="0" applyFont="1" applyAlignment="1">
      <alignment horizontal="center" vertical="center" wrapText="1"/>
    </xf>
    <xf numFmtId="3" fontId="15" fillId="0" borderId="0" xfId="0" applyNumberFormat="1" applyFont="1"/>
    <xf numFmtId="164" fontId="5" fillId="0" borderId="10" xfId="1" applyFont="1" applyFill="1" applyBorder="1" applyAlignment="1">
      <alignment horizontal="center" vertical="center"/>
    </xf>
    <xf numFmtId="2" fontId="5" fillId="0" borderId="10" xfId="0" applyNumberFormat="1" applyFont="1" applyBorder="1" applyAlignment="1">
      <alignment horizontal="center" vertical="center"/>
    </xf>
    <xf numFmtId="166" fontId="5" fillId="0" borderId="10" xfId="1" applyNumberFormat="1" applyFont="1" applyFill="1" applyBorder="1" applyAlignment="1">
      <alignment horizontal="center" vertical="center"/>
    </xf>
    <xf numFmtId="166" fontId="19" fillId="0" borderId="10" xfId="1" applyNumberFormat="1" applyFont="1" applyFill="1" applyBorder="1" applyAlignment="1">
      <alignment horizontal="center" vertical="center"/>
    </xf>
    <xf numFmtId="164" fontId="3" fillId="0" borderId="13" xfId="1" applyFont="1" applyFill="1" applyBorder="1" applyAlignment="1">
      <alignment vertical="center" wrapText="1"/>
    </xf>
    <xf numFmtId="49" fontId="4" fillId="4" borderId="10" xfId="0" applyNumberFormat="1" applyFont="1" applyFill="1" applyBorder="1" applyAlignment="1">
      <alignment horizontal="center" vertical="center" wrapText="1"/>
    </xf>
    <xf numFmtId="0" fontId="0" fillId="8" borderId="0" xfId="0" applyFill="1"/>
    <xf numFmtId="2" fontId="29" fillId="3" borderId="4" xfId="0" applyNumberFormat="1" applyFont="1" applyFill="1" applyBorder="1" applyAlignment="1">
      <alignment horizontal="center" vertical="center" wrapText="1"/>
    </xf>
    <xf numFmtId="0" fontId="46" fillId="0" borderId="0" xfId="0" applyFont="1" applyAlignment="1">
      <alignment vertical="center" wrapText="1"/>
    </xf>
    <xf numFmtId="0" fontId="38" fillId="0" borderId="2" xfId="0" applyFont="1" applyBorder="1"/>
    <xf numFmtId="0" fontId="38" fillId="0" borderId="1" xfId="0" applyFont="1" applyBorder="1" applyAlignment="1">
      <alignment horizontal="center"/>
    </xf>
    <xf numFmtId="165" fontId="38" fillId="0" borderId="0" xfId="0" applyNumberFormat="1" applyFont="1"/>
    <xf numFmtId="3" fontId="31" fillId="8" borderId="1" xfId="3" applyNumberFormat="1" applyFont="1" applyFill="1" applyBorder="1" applyAlignment="1">
      <alignment horizontal="center" vertical="center" wrapText="1"/>
    </xf>
    <xf numFmtId="0" fontId="14" fillId="0" borderId="0" xfId="0" applyFont="1"/>
    <xf numFmtId="0" fontId="13" fillId="0" borderId="3" xfId="0" applyFont="1" applyBorder="1"/>
    <xf numFmtId="9" fontId="13" fillId="0" borderId="1" xfId="0" applyNumberFormat="1" applyFont="1" applyBorder="1" applyAlignment="1">
      <alignment wrapText="1"/>
    </xf>
    <xf numFmtId="3" fontId="13" fillId="0" borderId="13" xfId="0" applyNumberFormat="1" applyFont="1" applyBorder="1"/>
    <xf numFmtId="9" fontId="13" fillId="3" borderId="4" xfId="0" applyNumberFormat="1" applyFont="1" applyFill="1" applyBorder="1" applyAlignment="1">
      <alignment wrapText="1"/>
    </xf>
    <xf numFmtId="3" fontId="14" fillId="0" borderId="4" xfId="0" applyNumberFormat="1" applyFont="1" applyBorder="1"/>
    <xf numFmtId="0" fontId="13" fillId="0" borderId="2" xfId="0" applyFont="1" applyBorder="1" applyAlignment="1">
      <alignment horizontal="center" vertical="center" wrapText="1"/>
    </xf>
    <xf numFmtId="3" fontId="13" fillId="0" borderId="13" xfId="0" applyNumberFormat="1" applyFont="1" applyBorder="1" applyAlignment="1">
      <alignment horizontal="center" wrapText="1"/>
    </xf>
    <xf numFmtId="0" fontId="13" fillId="0" borderId="13" xfId="0" applyFont="1" applyBorder="1" applyAlignment="1">
      <alignment horizontal="right" wrapText="1"/>
    </xf>
    <xf numFmtId="3" fontId="61" fillId="16" borderId="1" xfId="0" applyNumberFormat="1" applyFont="1" applyFill="1" applyBorder="1"/>
    <xf numFmtId="0" fontId="61" fillId="16" borderId="1" xfId="0" applyFont="1" applyFill="1" applyBorder="1"/>
    <xf numFmtId="0" fontId="5" fillId="8" borderId="0" xfId="0" applyFont="1" applyFill="1"/>
    <xf numFmtId="0" fontId="21" fillId="8" borderId="0" xfId="0" applyFont="1" applyFill="1"/>
    <xf numFmtId="0" fontId="77" fillId="16" borderId="10" xfId="0" applyFont="1" applyFill="1" applyBorder="1" applyAlignment="1">
      <alignment horizontal="left" vertical="center" wrapText="1"/>
    </xf>
    <xf numFmtId="164" fontId="76" fillId="0" borderId="1" xfId="1" applyFont="1" applyBorder="1"/>
    <xf numFmtId="0" fontId="38" fillId="8" borderId="20" xfId="0" applyFont="1" applyFill="1" applyBorder="1" applyAlignment="1">
      <alignment horizontal="center" vertical="center"/>
    </xf>
    <xf numFmtId="0" fontId="38" fillId="8" borderId="19" xfId="0" applyFont="1" applyFill="1" applyBorder="1" applyAlignment="1">
      <alignment horizontal="center" vertical="center"/>
    </xf>
    <xf numFmtId="0" fontId="38" fillId="8" borderId="22" xfId="0" applyFont="1" applyFill="1" applyBorder="1" applyAlignment="1">
      <alignment horizontal="center" vertical="center"/>
    </xf>
    <xf numFmtId="0" fontId="38" fillId="8" borderId="25" xfId="0" applyFont="1" applyFill="1" applyBorder="1" applyAlignment="1">
      <alignment horizontal="center" vertical="center"/>
    </xf>
    <xf numFmtId="0" fontId="38" fillId="8" borderId="1" xfId="0" applyFont="1" applyFill="1" applyBorder="1" applyAlignment="1">
      <alignment horizontal="center" vertical="center"/>
    </xf>
    <xf numFmtId="0" fontId="38" fillId="8" borderId="0" xfId="0" applyFont="1" applyFill="1"/>
    <xf numFmtId="0" fontId="38" fillId="8" borderId="31" xfId="0" applyFont="1" applyFill="1" applyBorder="1" applyAlignment="1">
      <alignment horizontal="center" vertical="center"/>
    </xf>
    <xf numFmtId="0" fontId="72" fillId="8" borderId="0" xfId="0" applyFont="1" applyFill="1"/>
    <xf numFmtId="0" fontId="15" fillId="0" borderId="10" xfId="0" applyFont="1" applyBorder="1" applyAlignment="1">
      <alignment wrapText="1"/>
    </xf>
    <xf numFmtId="3" fontId="15" fillId="0" borderId="10" xfId="0" applyNumberFormat="1" applyFont="1" applyBorder="1" applyAlignment="1">
      <alignment vertical="center"/>
    </xf>
    <xf numFmtId="0" fontId="15" fillId="4" borderId="12" xfId="0" applyFont="1" applyFill="1" applyBorder="1" applyAlignment="1">
      <alignment horizontal="center" vertical="center" wrapText="1"/>
    </xf>
    <xf numFmtId="0" fontId="15" fillId="4" borderId="3" xfId="0" applyFont="1" applyFill="1" applyBorder="1" applyAlignment="1">
      <alignment horizontal="center" vertical="center" wrapText="1"/>
    </xf>
    <xf numFmtId="0" fontId="15" fillId="4" borderId="59" xfId="0" applyFont="1" applyFill="1" applyBorder="1" applyAlignment="1">
      <alignment horizontal="center" vertical="center" wrapText="1"/>
    </xf>
    <xf numFmtId="0" fontId="29" fillId="0" borderId="10" xfId="0" applyFont="1" applyBorder="1" applyAlignment="1">
      <alignment wrapText="1"/>
    </xf>
    <xf numFmtId="0" fontId="40" fillId="0" borderId="10" xfId="0" applyFont="1" applyBorder="1" applyAlignment="1">
      <alignment wrapText="1"/>
    </xf>
    <xf numFmtId="0" fontId="40" fillId="0" borderId="19" xfId="0" applyFont="1" applyBorder="1" applyAlignment="1">
      <alignment wrapText="1"/>
    </xf>
    <xf numFmtId="0" fontId="38" fillId="0" borderId="10" xfId="0" applyFont="1" applyBorder="1" applyAlignment="1">
      <alignment wrapText="1"/>
    </xf>
    <xf numFmtId="0" fontId="38" fillId="0" borderId="22" xfId="0" applyFont="1" applyBorder="1" applyAlignment="1">
      <alignment wrapText="1"/>
    </xf>
    <xf numFmtId="0" fontId="38" fillId="0" borderId="19" xfId="0" applyFont="1" applyBorder="1" applyAlignment="1">
      <alignment wrapText="1"/>
    </xf>
    <xf numFmtId="0" fontId="38" fillId="0" borderId="19" xfId="0" applyFont="1" applyBorder="1" applyAlignment="1">
      <alignment horizontal="left" vertical="center" wrapText="1"/>
    </xf>
    <xf numFmtId="0" fontId="29" fillId="0" borderId="22" xfId="0" applyFont="1" applyBorder="1" applyAlignment="1">
      <alignment wrapText="1"/>
    </xf>
    <xf numFmtId="0" fontId="38" fillId="8" borderId="0" xfId="0" applyFont="1" applyFill="1" applyAlignment="1">
      <alignment horizontal="right"/>
    </xf>
    <xf numFmtId="0" fontId="72" fillId="8" borderId="0" xfId="0" applyFont="1" applyFill="1" applyAlignment="1">
      <alignment horizontal="right"/>
    </xf>
    <xf numFmtId="165" fontId="72" fillId="0" borderId="1" xfId="0" applyNumberFormat="1" applyFont="1" applyBorder="1"/>
    <xf numFmtId="0" fontId="78" fillId="0" borderId="0" xfId="0" applyFont="1" applyAlignment="1">
      <alignment horizontal="right"/>
    </xf>
    <xf numFmtId="0" fontId="15" fillId="0" borderId="20" xfId="0" applyFont="1" applyBorder="1"/>
    <xf numFmtId="0" fontId="32" fillId="0" borderId="20" xfId="0" applyFont="1" applyBorder="1"/>
    <xf numFmtId="3" fontId="15" fillId="0" borderId="21" xfId="0" applyNumberFormat="1" applyFont="1" applyBorder="1" applyAlignment="1">
      <alignment vertical="center"/>
    </xf>
    <xf numFmtId="0" fontId="79" fillId="0" borderId="10" xfId="0" applyFont="1" applyBorder="1" applyAlignment="1">
      <alignment wrapText="1"/>
    </xf>
    <xf numFmtId="166" fontId="29" fillId="3" borderId="10" xfId="1" applyNumberFormat="1" applyFont="1" applyFill="1" applyBorder="1" applyAlignment="1">
      <alignment horizontal="center" vertical="center"/>
    </xf>
    <xf numFmtId="0" fontId="29" fillId="0" borderId="20" xfId="0" applyFont="1" applyBorder="1" applyAlignment="1">
      <alignment vertical="center" wrapText="1"/>
    </xf>
    <xf numFmtId="166" fontId="29" fillId="3" borderId="12" xfId="1" applyNumberFormat="1" applyFont="1" applyFill="1" applyBorder="1" applyAlignment="1">
      <alignment horizontal="center" vertical="center"/>
    </xf>
    <xf numFmtId="3" fontId="29" fillId="0" borderId="46" xfId="0" applyNumberFormat="1" applyFont="1" applyBorder="1" applyAlignment="1">
      <alignment horizontal="right" vertical="center" wrapText="1"/>
    </xf>
    <xf numFmtId="3" fontId="29" fillId="0" borderId="10" xfId="0" applyNumberFormat="1" applyFont="1" applyBorder="1" applyAlignment="1">
      <alignment horizontal="right" vertical="center" wrapText="1"/>
    </xf>
    <xf numFmtId="3" fontId="48" fillId="8" borderId="1" xfId="0" applyNumberFormat="1" applyFont="1" applyFill="1" applyBorder="1" applyAlignment="1">
      <alignment wrapText="1"/>
    </xf>
    <xf numFmtId="0" fontId="46" fillId="0" borderId="10" xfId="0" applyFont="1" applyBorder="1" applyAlignment="1">
      <alignment wrapText="1"/>
    </xf>
    <xf numFmtId="0" fontId="65" fillId="0" borderId="0" xfId="0" applyFont="1" applyAlignment="1">
      <alignment wrapText="1"/>
    </xf>
    <xf numFmtId="0" fontId="80" fillId="0" borderId="10" xfId="0" applyFont="1" applyBorder="1" applyAlignment="1">
      <alignment horizontal="center" vertical="center"/>
    </xf>
    <xf numFmtId="0" fontId="80" fillId="0" borderId="22" xfId="0" applyFont="1" applyBorder="1" applyAlignment="1">
      <alignment horizontal="center" vertical="center"/>
    </xf>
    <xf numFmtId="0" fontId="40" fillId="3" borderId="37" xfId="0" applyFont="1" applyFill="1" applyBorder="1" applyAlignment="1">
      <alignment horizontal="center" vertical="center"/>
    </xf>
    <xf numFmtId="170" fontId="7" fillId="0" borderId="0" xfId="0" applyNumberFormat="1" applyFont="1"/>
    <xf numFmtId="0" fontId="4" fillId="8" borderId="0" xfId="0" applyFont="1" applyFill="1" applyAlignment="1">
      <alignment wrapText="1"/>
    </xf>
    <xf numFmtId="0" fontId="4" fillId="8" borderId="0" xfId="0" applyFont="1" applyFill="1" applyAlignment="1">
      <alignment horizontal="center" wrapText="1"/>
    </xf>
    <xf numFmtId="3" fontId="40" fillId="8" borderId="20" xfId="0" applyNumberFormat="1" applyFont="1" applyFill="1" applyBorder="1" applyAlignment="1">
      <alignment horizontal="center" vertical="center"/>
    </xf>
    <xf numFmtId="0" fontId="32" fillId="8" borderId="10" xfId="0" applyFont="1" applyFill="1" applyBorder="1" applyAlignment="1">
      <alignment horizontal="center" vertical="center"/>
    </xf>
    <xf numFmtId="0" fontId="32" fillId="0" borderId="10" xfId="0" applyFont="1" applyBorder="1" applyAlignment="1">
      <alignment vertical="center"/>
    </xf>
    <xf numFmtId="0" fontId="19" fillId="0" borderId="0" xfId="0" applyFont="1" applyAlignment="1">
      <alignment wrapText="1"/>
    </xf>
    <xf numFmtId="0" fontId="37" fillId="0" borderId="0" xfId="0" applyFont="1" applyAlignment="1">
      <alignment horizontal="center" vertical="center"/>
    </xf>
    <xf numFmtId="4" fontId="37" fillId="0" borderId="0" xfId="0" applyNumberFormat="1" applyFont="1" applyAlignment="1">
      <alignment horizontal="center"/>
    </xf>
    <xf numFmtId="4" fontId="37" fillId="0" borderId="0" xfId="0" applyNumberFormat="1" applyFont="1" applyAlignment="1">
      <alignment horizontal="center" vertical="center"/>
    </xf>
    <xf numFmtId="4" fontId="37" fillId="0" borderId="20" xfId="0" applyNumberFormat="1" applyFont="1" applyBorder="1" applyAlignment="1">
      <alignment horizontal="center"/>
    </xf>
    <xf numFmtId="4" fontId="37" fillId="0" borderId="20" xfId="0" applyNumberFormat="1" applyFont="1" applyBorder="1" applyAlignment="1">
      <alignment horizontal="center" vertical="center"/>
    </xf>
    <xf numFmtId="10" fontId="37" fillId="0" borderId="10" xfId="0" applyNumberFormat="1" applyFont="1" applyBorder="1" applyAlignment="1">
      <alignment horizontal="center"/>
    </xf>
    <xf numFmtId="0" fontId="37" fillId="0" borderId="10" xfId="0" applyFont="1" applyBorder="1" applyAlignment="1">
      <alignment horizontal="center" vertical="center" wrapText="1"/>
    </xf>
    <xf numFmtId="0" fontId="35" fillId="0" borderId="10" xfId="0" applyFont="1" applyBorder="1" applyAlignment="1">
      <alignment horizontal="center" vertical="center"/>
    </xf>
    <xf numFmtId="10" fontId="35" fillId="0" borderId="10" xfId="0" applyNumberFormat="1" applyFont="1" applyBorder="1" applyAlignment="1">
      <alignment horizontal="center" vertical="center"/>
    </xf>
    <xf numFmtId="0" fontId="34" fillId="8" borderId="10" xfId="0" applyFont="1" applyFill="1" applyBorder="1" applyAlignment="1">
      <alignment horizontal="center" vertical="center" wrapText="1"/>
    </xf>
    <xf numFmtId="0" fontId="42" fillId="8" borderId="10" xfId="0" applyFont="1" applyFill="1" applyBorder="1" applyAlignment="1">
      <alignment horizontal="center" vertical="center" wrapText="1"/>
    </xf>
    <xf numFmtId="0" fontId="31" fillId="8" borderId="10" xfId="0" applyFont="1" applyFill="1" applyBorder="1" applyAlignment="1">
      <alignment horizontal="center" vertical="center" wrapText="1"/>
    </xf>
    <xf numFmtId="0" fontId="37" fillId="0" borderId="21" xfId="0" applyFont="1" applyBorder="1" applyAlignment="1">
      <alignment horizontal="center" vertical="center" wrapText="1"/>
    </xf>
    <xf numFmtId="0" fontId="32" fillId="0" borderId="27" xfId="0" applyFont="1" applyBorder="1" applyAlignment="1">
      <alignment horizontal="center" vertical="center" wrapText="1"/>
    </xf>
    <xf numFmtId="0" fontId="75" fillId="0" borderId="0" xfId="0" applyFont="1" applyAlignment="1">
      <alignment vertical="center"/>
    </xf>
    <xf numFmtId="4" fontId="81" fillId="0" borderId="0" xfId="0" applyNumberFormat="1" applyFont="1"/>
    <xf numFmtId="0" fontId="82" fillId="0" borderId="0" xfId="0" applyFont="1" applyAlignment="1">
      <alignment wrapText="1"/>
    </xf>
    <xf numFmtId="0" fontId="82" fillId="0" borderId="0" xfId="0" applyFont="1"/>
    <xf numFmtId="0" fontId="32" fillId="8" borderId="10" xfId="0" applyFont="1" applyFill="1" applyBorder="1" applyAlignment="1">
      <alignment vertical="center"/>
    </xf>
    <xf numFmtId="4" fontId="37" fillId="8" borderId="20" xfId="0" applyNumberFormat="1" applyFont="1" applyFill="1" applyBorder="1" applyAlignment="1">
      <alignment horizontal="center" vertical="center"/>
    </xf>
    <xf numFmtId="0" fontId="35" fillId="8" borderId="10" xfId="0" applyFont="1" applyFill="1" applyBorder="1" applyAlignment="1">
      <alignment horizontal="center" vertical="center"/>
    </xf>
    <xf numFmtId="10" fontId="35" fillId="8" borderId="10" xfId="0" applyNumberFormat="1" applyFont="1" applyFill="1" applyBorder="1" applyAlignment="1">
      <alignment horizontal="center" vertical="center"/>
    </xf>
    <xf numFmtId="4" fontId="37" fillId="8" borderId="0" xfId="0" applyNumberFormat="1" applyFont="1" applyFill="1" applyAlignment="1">
      <alignment horizontal="center" vertical="center"/>
    </xf>
    <xf numFmtId="0" fontId="62" fillId="8" borderId="0" xfId="0" applyFont="1" applyFill="1" applyAlignment="1">
      <alignment wrapText="1"/>
    </xf>
    <xf numFmtId="0" fontId="42" fillId="8" borderId="0" xfId="0" applyFont="1" applyFill="1" applyAlignment="1">
      <alignment wrapText="1"/>
    </xf>
    <xf numFmtId="0" fontId="32" fillId="8" borderId="0" xfId="0" applyFont="1" applyFill="1"/>
    <xf numFmtId="0" fontId="19" fillId="2" borderId="1" xfId="0" applyFont="1" applyFill="1" applyBorder="1" applyAlignment="1">
      <alignment horizontal="center" vertical="center" wrapText="1"/>
    </xf>
    <xf numFmtId="0" fontId="31" fillId="0" borderId="0" xfId="0" applyFont="1" applyAlignment="1">
      <alignment horizontal="right"/>
    </xf>
    <xf numFmtId="0" fontId="59" fillId="0" borderId="0" xfId="0" applyFont="1" applyAlignment="1">
      <alignment vertical="center"/>
    </xf>
    <xf numFmtId="0" fontId="62" fillId="4" borderId="1" xfId="0" applyFont="1" applyFill="1" applyBorder="1" applyAlignment="1">
      <alignment horizontal="center" vertical="center" wrapText="1"/>
    </xf>
    <xf numFmtId="0" fontId="31" fillId="4" borderId="1" xfId="0" applyFont="1" applyFill="1" applyBorder="1" applyAlignment="1">
      <alignment horizontal="center"/>
    </xf>
    <xf numFmtId="0" fontId="31" fillId="0" borderId="0" xfId="0" applyFont="1" applyAlignment="1">
      <alignment vertical="center" wrapText="1"/>
    </xf>
    <xf numFmtId="0" fontId="42" fillId="0" borderId="1" xfId="0" applyFont="1" applyBorder="1" applyAlignment="1">
      <alignment vertical="center" wrapText="1"/>
    </xf>
    <xf numFmtId="3" fontId="62" fillId="0" borderId="1" xfId="0" applyNumberFormat="1" applyFont="1" applyBorder="1" applyAlignment="1">
      <alignment horizontal="center" vertical="center"/>
    </xf>
    <xf numFmtId="0" fontId="83" fillId="0" borderId="1" xfId="0" applyFont="1" applyBorder="1" applyAlignment="1">
      <alignment horizontal="center" vertical="center" wrapText="1"/>
    </xf>
    <xf numFmtId="0" fontId="62" fillId="4" borderId="1" xfId="0" applyFont="1" applyFill="1" applyBorder="1" applyAlignment="1">
      <alignment horizontal="center" vertical="center"/>
    </xf>
    <xf numFmtId="0" fontId="42" fillId="0" borderId="1" xfId="0" applyFont="1" applyBorder="1" applyAlignment="1">
      <alignment horizontal="center" vertical="center" wrapText="1"/>
    </xf>
    <xf numFmtId="0" fontId="84" fillId="0" borderId="1" xfId="0" applyFont="1" applyBorder="1" applyAlignment="1">
      <alignment vertical="center" wrapText="1"/>
    </xf>
    <xf numFmtId="2" fontId="31" fillId="0" borderId="0" xfId="0" applyNumberFormat="1" applyFont="1"/>
    <xf numFmtId="3" fontId="31" fillId="0" borderId="1" xfId="0" applyNumberFormat="1" applyFont="1" applyBorder="1"/>
    <xf numFmtId="0" fontId="59" fillId="0" borderId="0" xfId="0" applyFont="1" applyAlignment="1">
      <alignment horizontal="center" vertical="center" wrapText="1"/>
    </xf>
    <xf numFmtId="3" fontId="62" fillId="0" borderId="1" xfId="0" applyNumberFormat="1" applyFont="1" applyBorder="1" applyAlignment="1">
      <alignment horizontal="center" vertical="center" wrapText="1"/>
    </xf>
    <xf numFmtId="3" fontId="55" fillId="0" borderId="1" xfId="0" applyNumberFormat="1" applyFont="1" applyBorder="1" applyAlignment="1">
      <alignment horizontal="center" vertical="center"/>
    </xf>
    <xf numFmtId="168" fontId="32" fillId="0" borderId="1" xfId="0" applyNumberFormat="1" applyFont="1" applyBorder="1" applyAlignment="1">
      <alignment horizontal="center" vertical="center"/>
    </xf>
    <xf numFmtId="0" fontId="39" fillId="0" borderId="0" xfId="0" applyFont="1"/>
    <xf numFmtId="0" fontId="38" fillId="4" borderId="10" xfId="0" applyFont="1" applyFill="1" applyBorder="1" applyAlignment="1">
      <alignment horizontal="center" vertical="center"/>
    </xf>
    <xf numFmtId="0" fontId="38" fillId="4" borderId="10" xfId="0" applyFont="1" applyFill="1" applyBorder="1" applyAlignment="1">
      <alignment horizontal="center" vertical="center" wrapText="1"/>
    </xf>
    <xf numFmtId="165" fontId="38" fillId="0" borderId="10" xfId="0" applyNumberFormat="1" applyFont="1" applyBorder="1"/>
    <xf numFmtId="0" fontId="38" fillId="4" borderId="1" xfId="0" applyFont="1" applyFill="1" applyBorder="1" applyAlignment="1">
      <alignment vertical="center"/>
    </xf>
    <xf numFmtId="166" fontId="38" fillId="8" borderId="1" xfId="1" applyNumberFormat="1" applyFont="1" applyFill="1" applyBorder="1"/>
    <xf numFmtId="164" fontId="38" fillId="0" borderId="31" xfId="1" applyFont="1" applyBorder="1"/>
    <xf numFmtId="164" fontId="38" fillId="0" borderId="1" xfId="1" applyFont="1" applyBorder="1"/>
    <xf numFmtId="0" fontId="38" fillId="4" borderId="1" xfId="0" applyFont="1" applyFill="1" applyBorder="1" applyAlignment="1">
      <alignment horizontal="center" vertical="center" wrapText="1"/>
    </xf>
    <xf numFmtId="0" fontId="28" fillId="0" borderId="0" xfId="0" applyFont="1"/>
    <xf numFmtId="0" fontId="26" fillId="0" borderId="0" xfId="0" applyFont="1"/>
    <xf numFmtId="3" fontId="3" fillId="0" borderId="1" xfId="0" applyNumberFormat="1" applyFont="1" applyBorder="1" applyAlignment="1">
      <alignment wrapText="1"/>
    </xf>
    <xf numFmtId="3" fontId="3" fillId="0" borderId="13" xfId="0" applyNumberFormat="1" applyFont="1" applyBorder="1" applyAlignment="1">
      <alignment wrapText="1"/>
    </xf>
    <xf numFmtId="3" fontId="13" fillId="3" borderId="13" xfId="0" applyNumberFormat="1" applyFont="1" applyFill="1" applyBorder="1" applyAlignment="1">
      <alignment wrapText="1"/>
    </xf>
    <xf numFmtId="3" fontId="13" fillId="3" borderId="1" xfId="0" applyNumberFormat="1" applyFont="1" applyFill="1" applyBorder="1" applyAlignment="1">
      <alignment wrapText="1"/>
    </xf>
    <xf numFmtId="0" fontId="3" fillId="4" borderId="1" xfId="0" applyFont="1" applyFill="1" applyBorder="1" applyAlignment="1">
      <alignment horizontal="center" vertical="center" wrapText="1"/>
    </xf>
    <xf numFmtId="0" fontId="3" fillId="4" borderId="4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63" fillId="0" borderId="0" xfId="2" applyFont="1"/>
    <xf numFmtId="0" fontId="14" fillId="8" borderId="0" xfId="2" applyFont="1" applyFill="1" applyAlignment="1">
      <alignment horizontal="center" vertical="center" wrapText="1"/>
    </xf>
    <xf numFmtId="2" fontId="14" fillId="8" borderId="0" xfId="2" applyNumberFormat="1" applyFont="1" applyFill="1" applyAlignment="1">
      <alignment horizontal="center" vertical="center" wrapText="1"/>
    </xf>
    <xf numFmtId="3" fontId="14" fillId="0" borderId="1" xfId="2" applyNumberFormat="1" applyFont="1" applyBorder="1" applyAlignment="1">
      <alignment horizontal="center" vertical="center" wrapText="1"/>
    </xf>
    <xf numFmtId="0" fontId="26" fillId="0" borderId="0" xfId="0" applyFont="1" applyAlignment="1">
      <alignment vertical="center"/>
    </xf>
    <xf numFmtId="0" fontId="85" fillId="0" borderId="0" xfId="0" applyFont="1"/>
    <xf numFmtId="0" fontId="38" fillId="0" borderId="22" xfId="0" applyFont="1" applyBorder="1"/>
    <xf numFmtId="0" fontId="38" fillId="4" borderId="1" xfId="0" applyFont="1" applyFill="1" applyBorder="1"/>
    <xf numFmtId="0" fontId="36" fillId="8" borderId="1" xfId="9" applyFont="1" applyFill="1" applyBorder="1" applyAlignment="1">
      <alignment horizontal="right" vertical="center" wrapText="1"/>
    </xf>
    <xf numFmtId="166" fontId="41" fillId="8" borderId="1" xfId="8" applyNumberFormat="1" applyFont="1" applyFill="1" applyBorder="1" applyAlignment="1">
      <alignment horizontal="center" vertical="center"/>
    </xf>
    <xf numFmtId="164" fontId="59" fillId="8" borderId="1" xfId="8" applyFont="1" applyFill="1" applyBorder="1" applyAlignment="1">
      <alignment vertical="center"/>
    </xf>
    <xf numFmtId="166" fontId="41" fillId="8" borderId="1" xfId="9" applyNumberFormat="1" applyFont="1" applyFill="1" applyBorder="1" applyAlignment="1">
      <alignment horizontal="center" vertical="center"/>
    </xf>
    <xf numFmtId="166" fontId="36" fillId="8" borderId="1" xfId="9" applyNumberFormat="1" applyFont="1" applyFill="1" applyBorder="1" applyAlignment="1">
      <alignment vertical="center"/>
    </xf>
    <xf numFmtId="166" fontId="42" fillId="8" borderId="1" xfId="8" applyNumberFormat="1" applyFont="1" applyFill="1" applyBorder="1" applyAlignment="1">
      <alignment horizontal="center" vertical="center"/>
    </xf>
    <xf numFmtId="0" fontId="35" fillId="8" borderId="1" xfId="9" applyFont="1" applyFill="1" applyBorder="1" applyAlignment="1">
      <alignment horizontal="right" vertical="center" wrapText="1"/>
    </xf>
    <xf numFmtId="0" fontId="31" fillId="8" borderId="1" xfId="9" applyFont="1" applyFill="1" applyBorder="1" applyAlignment="1">
      <alignment horizontal="center" vertical="center" wrapText="1"/>
    </xf>
    <xf numFmtId="166" fontId="36" fillId="8" borderId="1" xfId="9" applyNumberFormat="1" applyFont="1" applyFill="1" applyBorder="1" applyAlignment="1">
      <alignment horizontal="center" vertical="center"/>
    </xf>
    <xf numFmtId="0" fontId="36" fillId="8" borderId="39" xfId="9" applyFont="1" applyFill="1" applyBorder="1" applyAlignment="1">
      <alignment horizontal="right" vertical="center" wrapText="1"/>
    </xf>
    <xf numFmtId="166" fontId="35" fillId="8" borderId="1" xfId="9" applyNumberFormat="1" applyFont="1" applyFill="1" applyBorder="1" applyAlignment="1">
      <alignment horizontal="center" vertical="center" wrapText="1"/>
    </xf>
    <xf numFmtId="0" fontId="42" fillId="8" borderId="0" xfId="9" applyFont="1" applyFill="1" applyAlignment="1">
      <alignment horizontal="center" vertical="center"/>
    </xf>
    <xf numFmtId="0" fontId="43" fillId="8" borderId="0" xfId="9" applyFont="1" applyFill="1" applyAlignment="1">
      <alignment horizontal="right" vertical="center"/>
    </xf>
    <xf numFmtId="0" fontId="31" fillId="8" borderId="10" xfId="9" applyFont="1" applyFill="1" applyBorder="1"/>
    <xf numFmtId="0" fontId="31" fillId="8" borderId="10" xfId="9" applyFont="1" applyFill="1" applyBorder="1" applyAlignment="1">
      <alignment horizontal="center"/>
    </xf>
    <xf numFmtId="0" fontId="31" fillId="8" borderId="0" xfId="9" applyFont="1" applyFill="1" applyAlignment="1">
      <alignment horizontal="center"/>
    </xf>
    <xf numFmtId="0" fontId="41" fillId="8" borderId="0" xfId="9" applyFont="1" applyFill="1"/>
    <xf numFmtId="0" fontId="31" fillId="8" borderId="0" xfId="9" applyFont="1" applyFill="1"/>
    <xf numFmtId="0" fontId="35" fillId="8" borderId="0" xfId="9" applyFont="1" applyFill="1"/>
    <xf numFmtId="0" fontId="35" fillId="8" borderId="0" xfId="9" applyFont="1" applyFill="1" applyAlignment="1">
      <alignment horizontal="center"/>
    </xf>
    <xf numFmtId="0" fontId="31" fillId="8" borderId="0" xfId="9" applyFont="1" applyFill="1" applyAlignment="1">
      <alignment horizontal="right"/>
    </xf>
    <xf numFmtId="0" fontId="31" fillId="8" borderId="1" xfId="9" applyFont="1" applyFill="1" applyBorder="1"/>
    <xf numFmtId="168" fontId="31" fillId="8" borderId="1" xfId="9" applyNumberFormat="1" applyFont="1" applyFill="1" applyBorder="1"/>
    <xf numFmtId="166" fontId="31" fillId="8" borderId="1" xfId="9" applyNumberFormat="1" applyFont="1" applyFill="1" applyBorder="1"/>
    <xf numFmtId="0" fontId="35" fillId="8" borderId="31" xfId="9" applyFont="1" applyFill="1" applyBorder="1"/>
    <xf numFmtId="0" fontId="35" fillId="8" borderId="1" xfId="9" applyFont="1" applyFill="1" applyBorder="1"/>
    <xf numFmtId="165" fontId="35" fillId="8" borderId="1" xfId="9" applyNumberFormat="1" applyFont="1" applyFill="1" applyBorder="1"/>
    <xf numFmtId="0" fontId="31" fillId="8" borderId="0" xfId="9" applyFont="1" applyFill="1" applyAlignment="1">
      <alignment vertical="center" wrapText="1"/>
    </xf>
    <xf numFmtId="0" fontId="31" fillId="8" borderId="0" xfId="9" applyFont="1" applyFill="1" applyAlignment="1">
      <alignment vertical="center"/>
    </xf>
    <xf numFmtId="43" fontId="35" fillId="8" borderId="1" xfId="9" applyNumberFormat="1" applyFont="1" applyFill="1" applyBorder="1" applyAlignment="1">
      <alignment horizontal="right" vertical="center" wrapText="1"/>
    </xf>
    <xf numFmtId="0" fontId="43" fillId="8" borderId="0" xfId="9" applyFont="1" applyFill="1" applyAlignment="1">
      <alignment vertical="center"/>
    </xf>
    <xf numFmtId="0" fontId="28" fillId="0" borderId="0" xfId="9" applyFont="1"/>
    <xf numFmtId="0" fontId="61" fillId="0" borderId="0" xfId="0" applyFont="1" applyAlignment="1">
      <alignment vertical="center"/>
    </xf>
    <xf numFmtId="0" fontId="2" fillId="0" borderId="0" xfId="0" applyFont="1" applyAlignment="1">
      <alignment vertical="center"/>
    </xf>
    <xf numFmtId="0" fontId="5" fillId="4" borderId="20" xfId="0" applyFont="1" applyFill="1" applyBorder="1" applyAlignment="1">
      <alignment horizontal="center" vertical="center" wrapText="1"/>
    </xf>
    <xf numFmtId="0" fontId="4" fillId="9" borderId="2" xfId="0" applyFont="1" applyFill="1" applyBorder="1" applyAlignment="1">
      <alignment wrapText="1"/>
    </xf>
    <xf numFmtId="0" fontId="3" fillId="3" borderId="24" xfId="0" applyFont="1" applyFill="1" applyBorder="1" applyAlignment="1">
      <alignment horizontal="center"/>
    </xf>
    <xf numFmtId="0" fontId="4" fillId="6" borderId="1" xfId="0" applyFont="1" applyFill="1" applyBorder="1" applyAlignment="1">
      <alignment wrapText="1"/>
    </xf>
    <xf numFmtId="0" fontId="5" fillId="4" borderId="28" xfId="0" applyFont="1" applyFill="1" applyBorder="1" applyAlignment="1">
      <alignment horizontal="center" vertical="center" wrapText="1"/>
    </xf>
    <xf numFmtId="0" fontId="5" fillId="6" borderId="53" xfId="0" applyFont="1" applyFill="1" applyBorder="1" applyAlignment="1">
      <alignment vertical="center" wrapText="1"/>
    </xf>
    <xf numFmtId="0" fontId="3" fillId="5" borderId="9" xfId="0" applyFont="1" applyFill="1" applyBorder="1" applyAlignment="1">
      <alignment horizontal="center" vertical="center" wrapText="1"/>
    </xf>
    <xf numFmtId="0" fontId="28" fillId="0" borderId="0" xfId="0" applyFont="1" applyAlignment="1">
      <alignment vertical="center"/>
    </xf>
    <xf numFmtId="0" fontId="3" fillId="0" borderId="10" xfId="0" applyFont="1" applyBorder="1" applyAlignment="1">
      <alignment vertical="center" wrapText="1"/>
    </xf>
    <xf numFmtId="0" fontId="18" fillId="0" borderId="0" xfId="0" applyFont="1"/>
    <xf numFmtId="166" fontId="3" fillId="0" borderId="1" xfId="1" applyNumberFormat="1" applyFont="1" applyBorder="1" applyAlignment="1">
      <alignment vertical="center" wrapText="1"/>
    </xf>
    <xf numFmtId="0" fontId="59" fillId="0" borderId="40" xfId="0" applyFont="1" applyBorder="1" applyAlignment="1">
      <alignment vertical="center" wrapText="1"/>
    </xf>
    <xf numFmtId="3" fontId="40" fillId="8" borderId="28" xfId="0" applyNumberFormat="1" applyFont="1" applyFill="1" applyBorder="1" applyAlignment="1">
      <alignment horizontal="center" vertical="center"/>
    </xf>
    <xf numFmtId="3" fontId="40" fillId="0" borderId="28" xfId="0" applyNumberFormat="1" applyFont="1" applyBorder="1" applyAlignment="1">
      <alignment horizontal="center" vertical="center"/>
    </xf>
    <xf numFmtId="3" fontId="13" fillId="0" borderId="22" xfId="0" applyNumberFormat="1" applyFont="1" applyBorder="1" applyAlignment="1">
      <alignment horizontal="center" vertical="center"/>
    </xf>
    <xf numFmtId="2" fontId="13" fillId="3" borderId="63" xfId="0" applyNumberFormat="1" applyFont="1" applyFill="1" applyBorder="1" applyAlignment="1">
      <alignment horizontal="center" vertical="center"/>
    </xf>
    <xf numFmtId="0" fontId="13" fillId="0" borderId="63" xfId="0" applyFont="1" applyBorder="1" applyAlignment="1">
      <alignment horizontal="center" vertical="center"/>
    </xf>
    <xf numFmtId="0" fontId="80" fillId="0" borderId="64" xfId="0" applyFont="1" applyBorder="1" applyAlignment="1">
      <alignment horizontal="center" vertical="center"/>
    </xf>
    <xf numFmtId="1" fontId="13" fillId="8" borderId="65" xfId="0" applyNumberFormat="1" applyFont="1" applyFill="1" applyBorder="1" applyAlignment="1">
      <alignment horizontal="center" vertical="center"/>
    </xf>
    <xf numFmtId="1" fontId="13" fillId="0" borderId="66" xfId="0" applyNumberFormat="1" applyFont="1" applyBorder="1" applyAlignment="1">
      <alignment horizontal="center" vertical="center"/>
    </xf>
    <xf numFmtId="1" fontId="13" fillId="0" borderId="63" xfId="0" applyNumberFormat="1" applyFont="1" applyBorder="1" applyAlignment="1">
      <alignment horizontal="center" vertical="center"/>
    </xf>
    <xf numFmtId="3" fontId="13" fillId="0" borderId="66" xfId="0" applyNumberFormat="1" applyFont="1" applyBorder="1" applyAlignment="1">
      <alignment horizontal="center" vertical="center"/>
    </xf>
    <xf numFmtId="3" fontId="13" fillId="0" borderId="65" xfId="1" applyNumberFormat="1" applyFont="1" applyBorder="1" applyAlignment="1">
      <alignment horizontal="center" vertical="center"/>
    </xf>
    <xf numFmtId="3" fontId="13" fillId="0" borderId="66" xfId="1" applyNumberFormat="1" applyFont="1" applyBorder="1" applyAlignment="1">
      <alignment horizontal="center" vertical="center"/>
    </xf>
    <xf numFmtId="165" fontId="38" fillId="0" borderId="1" xfId="0" applyNumberFormat="1" applyFont="1" applyBorder="1" applyAlignment="1">
      <alignment horizontal="center" vertical="center"/>
    </xf>
    <xf numFmtId="0" fontId="34" fillId="8" borderId="1" xfId="0" applyFont="1" applyFill="1" applyBorder="1" applyAlignment="1">
      <alignment vertical="center" wrapText="1"/>
    </xf>
    <xf numFmtId="3" fontId="34" fillId="8" borderId="1" xfId="0" applyNumberFormat="1" applyFont="1" applyFill="1" applyBorder="1" applyAlignment="1">
      <alignment horizontal="center" vertical="center"/>
    </xf>
    <xf numFmtId="0" fontId="34" fillId="8" borderId="0" xfId="0" applyFont="1" applyFill="1" applyAlignment="1">
      <alignment vertical="center" wrapText="1"/>
    </xf>
    <xf numFmtId="0" fontId="34" fillId="8" borderId="0" xfId="0" applyFont="1" applyFill="1"/>
    <xf numFmtId="0" fontId="87" fillId="8" borderId="1" xfId="0" applyFont="1" applyFill="1" applyBorder="1" applyAlignment="1">
      <alignment horizontal="center" vertical="center" wrapText="1"/>
    </xf>
    <xf numFmtId="0" fontId="34" fillId="8" borderId="1" xfId="0" applyFont="1" applyFill="1" applyBorder="1" applyAlignment="1">
      <alignment horizontal="center" vertical="center"/>
    </xf>
    <xf numFmtId="0" fontId="34" fillId="8" borderId="1" xfId="0" applyFont="1" applyFill="1" applyBorder="1" applyAlignment="1">
      <alignment horizontal="center" vertical="center" wrapText="1"/>
    </xf>
    <xf numFmtId="0" fontId="88" fillId="8" borderId="1" xfId="0" applyFont="1" applyFill="1" applyBorder="1" applyAlignment="1">
      <alignment vertical="center" wrapText="1"/>
    </xf>
    <xf numFmtId="0" fontId="34" fillId="8" borderId="1" xfId="0" applyFont="1" applyFill="1" applyBorder="1"/>
    <xf numFmtId="3" fontId="34" fillId="8" borderId="1" xfId="0" applyNumberFormat="1" applyFont="1" applyFill="1" applyBorder="1"/>
    <xf numFmtId="0" fontId="57" fillId="0" borderId="0" xfId="0" applyFont="1"/>
    <xf numFmtId="166" fontId="57" fillId="0" borderId="0" xfId="0" applyNumberFormat="1" applyFont="1"/>
    <xf numFmtId="43" fontId="57" fillId="0" borderId="0" xfId="0" applyNumberFormat="1" applyFont="1"/>
    <xf numFmtId="3" fontId="32" fillId="0" borderId="0" xfId="0" applyNumberFormat="1" applyFont="1"/>
    <xf numFmtId="0" fontId="89" fillId="0" borderId="0" xfId="0" applyFont="1" applyAlignment="1">
      <alignment vertical="center"/>
    </xf>
    <xf numFmtId="0" fontId="32" fillId="0" borderId="46" xfId="0" applyFont="1" applyBorder="1" applyAlignment="1">
      <alignment vertical="center"/>
    </xf>
    <xf numFmtId="0" fontId="37" fillId="0" borderId="0" xfId="0" applyFont="1" applyAlignment="1">
      <alignment horizontal="center"/>
    </xf>
    <xf numFmtId="3" fontId="37" fillId="0" borderId="0" xfId="0" applyNumberFormat="1" applyFont="1" applyAlignment="1">
      <alignment horizontal="center"/>
    </xf>
    <xf numFmtId="0" fontId="32" fillId="0" borderId="22" xfId="0" applyFont="1" applyBorder="1" applyAlignment="1">
      <alignment vertical="center"/>
    </xf>
    <xf numFmtId="3" fontId="40" fillId="8" borderId="19" xfId="0" applyNumberFormat="1" applyFont="1" applyFill="1" applyBorder="1"/>
    <xf numFmtId="0" fontId="35" fillId="8" borderId="0" xfId="0" applyFont="1" applyFill="1"/>
    <xf numFmtId="0" fontId="31" fillId="21" borderId="2" xfId="0" applyFont="1" applyFill="1" applyBorder="1" applyAlignment="1">
      <alignment horizontal="center" vertical="center" wrapText="1"/>
    </xf>
    <xf numFmtId="0" fontId="59" fillId="0" borderId="2" xfId="0" applyFont="1" applyBorder="1" applyAlignment="1">
      <alignment horizontal="center" vertical="center" wrapText="1"/>
    </xf>
    <xf numFmtId="3" fontId="86" fillId="25" borderId="13" xfId="0" applyNumberFormat="1" applyFont="1" applyFill="1" applyBorder="1" applyAlignment="1">
      <alignment horizontal="center" wrapText="1"/>
    </xf>
    <xf numFmtId="3" fontId="86" fillId="16" borderId="13" xfId="0" applyNumberFormat="1" applyFont="1" applyFill="1" applyBorder="1" applyAlignment="1">
      <alignment horizontal="center" wrapText="1"/>
    </xf>
    <xf numFmtId="4" fontId="32" fillId="8" borderId="3" xfId="0" applyNumberFormat="1" applyFont="1" applyFill="1" applyBorder="1" applyAlignment="1">
      <alignment horizontal="right" vertical="center"/>
    </xf>
    <xf numFmtId="0" fontId="32" fillId="8" borderId="3" xfId="0" applyFont="1" applyFill="1" applyBorder="1" applyAlignment="1">
      <alignment horizontal="right" vertical="center"/>
    </xf>
    <xf numFmtId="0" fontId="37" fillId="8" borderId="0" xfId="0" applyFont="1" applyFill="1"/>
    <xf numFmtId="0" fontId="37" fillId="8" borderId="0" xfId="0" applyFont="1" applyFill="1" applyAlignment="1">
      <alignment wrapText="1"/>
    </xf>
    <xf numFmtId="0" fontId="90" fillId="16" borderId="1" xfId="0" applyFont="1" applyFill="1" applyBorder="1" applyAlignment="1">
      <alignment wrapText="1"/>
    </xf>
    <xf numFmtId="3" fontId="92" fillId="21" borderId="13" xfId="0" applyNumberFormat="1" applyFont="1" applyFill="1" applyBorder="1" applyAlignment="1">
      <alignment horizontal="center" wrapText="1"/>
    </xf>
    <xf numFmtId="3" fontId="91" fillId="0" borderId="13" xfId="0" applyNumberFormat="1" applyFont="1" applyBorder="1" applyAlignment="1">
      <alignment horizontal="center" vertical="center" wrapText="1"/>
    </xf>
    <xf numFmtId="4" fontId="32" fillId="8" borderId="11" xfId="0" applyNumberFormat="1" applyFont="1" applyFill="1" applyBorder="1" applyAlignment="1">
      <alignment horizontal="right" vertical="center"/>
    </xf>
    <xf numFmtId="0" fontId="32" fillId="8" borderId="11" xfId="0" applyFont="1" applyFill="1" applyBorder="1" applyAlignment="1">
      <alignment horizontal="right" vertical="center"/>
    </xf>
    <xf numFmtId="0" fontId="93" fillId="0" borderId="0" xfId="0" applyFont="1"/>
    <xf numFmtId="4" fontId="32" fillId="8" borderId="4" xfId="0" applyNumberFormat="1" applyFont="1" applyFill="1" applyBorder="1" applyAlignment="1">
      <alignment horizontal="right" vertical="center"/>
    </xf>
    <xf numFmtId="0" fontId="32" fillId="8" borderId="4" xfId="0" applyFont="1" applyFill="1" applyBorder="1" applyAlignment="1">
      <alignment horizontal="right" vertical="center"/>
    </xf>
    <xf numFmtId="3" fontId="36" fillId="25" borderId="13" xfId="0" applyNumberFormat="1" applyFont="1" applyFill="1" applyBorder="1" applyAlignment="1">
      <alignment horizontal="center" wrapText="1"/>
    </xf>
    <xf numFmtId="3" fontId="36" fillId="16" borderId="13" xfId="0" applyNumberFormat="1" applyFont="1" applyFill="1" applyBorder="1" applyAlignment="1">
      <alignment horizontal="center" wrapText="1"/>
    </xf>
    <xf numFmtId="4" fontId="55" fillId="8" borderId="3" xfId="0" applyNumberFormat="1" applyFont="1" applyFill="1" applyBorder="1" applyAlignment="1">
      <alignment horizontal="right" vertical="center" wrapText="1"/>
    </xf>
    <xf numFmtId="4" fontId="55" fillId="8" borderId="11" xfId="0" applyNumberFormat="1" applyFont="1" applyFill="1" applyBorder="1" applyAlignment="1">
      <alignment horizontal="right" vertical="center" wrapText="1"/>
    </xf>
    <xf numFmtId="3" fontId="92" fillId="21" borderId="41" xfId="0" applyNumberFormat="1" applyFont="1" applyFill="1" applyBorder="1" applyAlignment="1">
      <alignment horizontal="center" wrapText="1"/>
    </xf>
    <xf numFmtId="0" fontId="94" fillId="0" borderId="0" xfId="0" applyFont="1" applyAlignment="1">
      <alignment wrapText="1"/>
    </xf>
    <xf numFmtId="0" fontId="44" fillId="0" borderId="22" xfId="0" applyFont="1" applyBorder="1" applyAlignment="1">
      <alignment horizontal="center"/>
    </xf>
    <xf numFmtId="0" fontId="44" fillId="0" borderId="22" xfId="0" applyFont="1" applyBorder="1" applyAlignment="1">
      <alignment horizontal="right"/>
    </xf>
    <xf numFmtId="0" fontId="44" fillId="0" borderId="10" xfId="0" applyFont="1" applyBorder="1" applyAlignment="1">
      <alignment horizontal="center"/>
    </xf>
    <xf numFmtId="0" fontId="44" fillId="0" borderId="10" xfId="0" applyFont="1" applyBorder="1" applyAlignment="1">
      <alignment horizontal="right"/>
    </xf>
    <xf numFmtId="0" fontId="95" fillId="0" borderId="0" xfId="0" applyFont="1"/>
    <xf numFmtId="0" fontId="96" fillId="0" borderId="0" xfId="0" applyFont="1"/>
    <xf numFmtId="0" fontId="62" fillId="0" borderId="0" xfId="0" applyFont="1" applyAlignment="1">
      <alignment wrapText="1"/>
    </xf>
    <xf numFmtId="0" fontId="62" fillId="0" borderId="0" xfId="0" applyFont="1"/>
    <xf numFmtId="0" fontId="59" fillId="0" borderId="0" xfId="0" applyFont="1" applyAlignment="1">
      <alignment wrapText="1"/>
    </xf>
    <xf numFmtId="2" fontId="62" fillId="0" borderId="0" xfId="0" applyNumberFormat="1" applyFont="1"/>
    <xf numFmtId="2" fontId="62" fillId="0" borderId="0" xfId="0" applyNumberFormat="1" applyFont="1" applyAlignment="1">
      <alignment wrapText="1"/>
    </xf>
    <xf numFmtId="0" fontId="59" fillId="0" borderId="0" xfId="0" applyFont="1"/>
    <xf numFmtId="0" fontId="31" fillId="0" borderId="1" xfId="3" applyFont="1" applyBorder="1" applyAlignment="1">
      <alignment horizontal="center" vertical="center" wrapText="1"/>
    </xf>
    <xf numFmtId="0" fontId="42" fillId="8" borderId="1" xfId="9" applyFont="1" applyFill="1" applyBorder="1" applyAlignment="1">
      <alignment horizontal="center" vertical="center" wrapText="1"/>
    </xf>
    <xf numFmtId="0" fontId="74" fillId="4" borderId="1" xfId="3" applyFont="1" applyFill="1" applyBorder="1" applyAlignment="1">
      <alignment horizontal="center" vertical="center" wrapText="1"/>
    </xf>
    <xf numFmtId="3" fontId="61" fillId="4" borderId="10" xfId="0" applyNumberFormat="1" applyFont="1" applyFill="1" applyBorder="1" applyAlignment="1">
      <alignment horizontal="center" vertical="center"/>
    </xf>
    <xf numFmtId="4" fontId="26" fillId="4" borderId="10" xfId="0" applyNumberFormat="1" applyFont="1" applyFill="1" applyBorder="1" applyAlignment="1">
      <alignment horizontal="right" vertical="center"/>
    </xf>
    <xf numFmtId="3" fontId="44" fillId="0" borderId="2" xfId="0" applyNumberFormat="1" applyFont="1" applyBorder="1"/>
    <xf numFmtId="3" fontId="91" fillId="0" borderId="41" xfId="0" applyNumberFormat="1" applyFont="1" applyBorder="1" applyAlignment="1">
      <alignment horizontal="center" vertical="center" wrapText="1"/>
    </xf>
    <xf numFmtId="0" fontId="92" fillId="0" borderId="1" xfId="0" applyFont="1" applyBorder="1" applyAlignment="1">
      <alignment wrapText="1"/>
    </xf>
    <xf numFmtId="3" fontId="91" fillId="0" borderId="1" xfId="0" applyNumberFormat="1" applyFont="1" applyBorder="1" applyAlignment="1">
      <alignment horizontal="center" vertical="center" wrapText="1"/>
    </xf>
    <xf numFmtId="4" fontId="55" fillId="8" borderId="1" xfId="0" applyNumberFormat="1" applyFont="1" applyFill="1" applyBorder="1" applyAlignment="1">
      <alignment horizontal="right" vertical="center" wrapText="1"/>
    </xf>
    <xf numFmtId="0" fontId="32" fillId="8" borderId="1" xfId="0" applyFont="1" applyFill="1" applyBorder="1" applyAlignment="1">
      <alignment horizontal="right" vertical="center"/>
    </xf>
    <xf numFmtId="3" fontId="97" fillId="4" borderId="1" xfId="0" applyNumberFormat="1" applyFont="1" applyFill="1" applyBorder="1"/>
    <xf numFmtId="3" fontId="92" fillId="21" borderId="2" xfId="0" applyNumberFormat="1" applyFont="1" applyFill="1" applyBorder="1" applyAlignment="1">
      <alignment horizontal="center" wrapText="1"/>
    </xf>
    <xf numFmtId="0" fontId="36" fillId="0" borderId="1" xfId="0" applyFont="1" applyBorder="1"/>
    <xf numFmtId="0" fontId="32" fillId="0" borderId="1" xfId="0" applyFont="1" applyBorder="1" applyAlignment="1">
      <alignment vertical="center" wrapText="1"/>
    </xf>
    <xf numFmtId="0" fontId="40" fillId="8" borderId="19" xfId="0" applyFont="1" applyFill="1" applyBorder="1" applyAlignment="1">
      <alignment horizontal="center" vertical="center"/>
    </xf>
    <xf numFmtId="0" fontId="40" fillId="8" borderId="22" xfId="0" applyFont="1" applyFill="1" applyBorder="1" applyAlignment="1">
      <alignment horizontal="center" vertical="center"/>
    </xf>
    <xf numFmtId="0" fontId="38" fillId="0" borderId="25" xfId="0" applyFont="1" applyBorder="1" applyAlignment="1">
      <alignment vertical="center" wrapText="1"/>
    </xf>
    <xf numFmtId="0" fontId="38" fillId="0" borderId="26" xfId="0" applyFont="1" applyBorder="1" applyAlignment="1">
      <alignment vertical="center" wrapText="1"/>
    </xf>
    <xf numFmtId="0" fontId="38" fillId="0" borderId="37" xfId="0" applyFont="1" applyBorder="1" applyAlignment="1">
      <alignment vertical="center" wrapText="1"/>
    </xf>
    <xf numFmtId="0" fontId="29" fillId="4" borderId="23" xfId="0" applyFont="1" applyFill="1" applyBorder="1" applyAlignment="1">
      <alignment horizontal="center" vertical="center" wrapText="1"/>
    </xf>
    <xf numFmtId="0" fontId="15" fillId="4" borderId="1" xfId="3" applyFont="1" applyFill="1" applyBorder="1"/>
    <xf numFmtId="0" fontId="29" fillId="0" borderId="0" xfId="0" applyFont="1" applyAlignment="1">
      <alignment horizontal="left" vertical="center"/>
    </xf>
    <xf numFmtId="0" fontId="29" fillId="0" borderId="0" xfId="0" applyFont="1" applyAlignment="1">
      <alignment vertical="center" wrapText="1"/>
    </xf>
    <xf numFmtId="0" fontId="40" fillId="0" borderId="0" xfId="0" applyFont="1" applyAlignment="1">
      <alignment vertical="center" wrapText="1"/>
    </xf>
    <xf numFmtId="0" fontId="29" fillId="0" borderId="0" xfId="0" applyFont="1" applyAlignment="1">
      <alignment horizontal="center" vertical="center" wrapText="1"/>
    </xf>
    <xf numFmtId="0" fontId="38" fillId="0" borderId="0" xfId="0" applyFont="1" applyAlignment="1">
      <alignment horizontal="left" vertical="center"/>
    </xf>
    <xf numFmtId="0" fontId="38" fillId="0" borderId="0" xfId="0" applyFont="1" applyAlignment="1">
      <alignment horizontal="center" vertical="center"/>
    </xf>
    <xf numFmtId="0" fontId="53" fillId="17" borderId="46" xfId="0" applyFont="1" applyFill="1" applyBorder="1" applyAlignment="1">
      <alignment vertical="center" wrapText="1"/>
    </xf>
    <xf numFmtId="0" fontId="58" fillId="17" borderId="19" xfId="0" applyFont="1" applyFill="1" applyBorder="1" applyAlignment="1">
      <alignment vertical="center" wrapText="1"/>
    </xf>
    <xf numFmtId="0" fontId="58" fillId="17" borderId="19" xfId="0" applyFont="1" applyFill="1" applyBorder="1" applyAlignment="1">
      <alignment horizontal="center" vertical="center" wrapText="1"/>
    </xf>
    <xf numFmtId="0" fontId="40" fillId="19" borderId="22" xfId="0" applyFont="1" applyFill="1" applyBorder="1" applyAlignment="1">
      <alignment horizontal="left" vertical="center"/>
    </xf>
    <xf numFmtId="0" fontId="38" fillId="19" borderId="30" xfId="0" applyFont="1" applyFill="1" applyBorder="1" applyAlignment="1">
      <alignment vertical="center"/>
    </xf>
    <xf numFmtId="0" fontId="38" fillId="19" borderId="28" xfId="0" applyFont="1" applyFill="1" applyBorder="1" applyAlignment="1">
      <alignment horizontal="center" vertical="center"/>
    </xf>
    <xf numFmtId="0" fontId="38" fillId="19" borderId="30" xfId="0" applyFont="1" applyFill="1" applyBorder="1" applyAlignment="1">
      <alignment horizontal="center" vertical="center"/>
    </xf>
    <xf numFmtId="0" fontId="40" fillId="20" borderId="10" xfId="0" applyFont="1" applyFill="1" applyBorder="1" applyAlignment="1">
      <alignment horizontal="left" vertical="center"/>
    </xf>
    <xf numFmtId="0" fontId="38" fillId="20" borderId="26" xfId="0" applyFont="1" applyFill="1" applyBorder="1" applyAlignment="1">
      <alignment vertical="center"/>
    </xf>
    <xf numFmtId="0" fontId="38" fillId="20" borderId="19" xfId="0" applyFont="1" applyFill="1" applyBorder="1" applyAlignment="1">
      <alignment horizontal="center" vertical="center"/>
    </xf>
    <xf numFmtId="0" fontId="38" fillId="20" borderId="46" xfId="0" applyFont="1" applyFill="1" applyBorder="1" applyAlignment="1">
      <alignment horizontal="center" vertical="center"/>
    </xf>
    <xf numFmtId="0" fontId="38" fillId="20" borderId="10" xfId="0" applyFont="1" applyFill="1" applyBorder="1" applyAlignment="1">
      <alignment horizontal="center" vertical="center"/>
    </xf>
    <xf numFmtId="0" fontId="40" fillId="0" borderId="19" xfId="0" applyFont="1" applyBorder="1" applyAlignment="1">
      <alignment horizontal="left" vertical="center"/>
    </xf>
    <xf numFmtId="3" fontId="38" fillId="0" borderId="19" xfId="0" applyNumberFormat="1" applyFont="1" applyBorder="1"/>
    <xf numFmtId="0" fontId="40" fillId="0" borderId="1" xfId="0" applyFont="1" applyBorder="1" applyAlignment="1">
      <alignment horizontal="left" vertical="center"/>
    </xf>
    <xf numFmtId="3" fontId="38" fillId="0" borderId="1" xfId="0" applyNumberFormat="1" applyFont="1" applyBorder="1"/>
    <xf numFmtId="3" fontId="40" fillId="0" borderId="19" xfId="0" applyNumberFormat="1" applyFont="1" applyBorder="1"/>
    <xf numFmtId="3" fontId="40" fillId="0" borderId="25" xfId="0" applyNumberFormat="1" applyFont="1" applyBorder="1"/>
    <xf numFmtId="0" fontId="40" fillId="24" borderId="26" xfId="0" applyFont="1" applyFill="1" applyBorder="1" applyAlignment="1">
      <alignment horizontal="left" vertical="center"/>
    </xf>
    <xf numFmtId="0" fontId="38" fillId="24" borderId="19" xfId="0" applyFont="1" applyFill="1" applyBorder="1" applyAlignment="1">
      <alignment horizontal="center" vertical="center"/>
    </xf>
    <xf numFmtId="0" fontId="38" fillId="24" borderId="46" xfId="0" applyFont="1" applyFill="1" applyBorder="1" applyAlignment="1">
      <alignment horizontal="center" vertical="center"/>
    </xf>
    <xf numFmtId="0" fontId="40" fillId="0" borderId="19" xfId="7" applyFont="1" applyBorder="1" applyAlignment="1">
      <alignment horizontal="center" vertical="center" wrapText="1"/>
    </xf>
    <xf numFmtId="3" fontId="38" fillId="8" borderId="19" xfId="0" applyNumberFormat="1" applyFont="1" applyFill="1" applyBorder="1"/>
    <xf numFmtId="0" fontId="38" fillId="0" borderId="19" xfId="0" applyFont="1" applyBorder="1" applyAlignment="1">
      <alignment horizontal="center" vertical="center" wrapText="1"/>
    </xf>
    <xf numFmtId="0" fontId="40" fillId="8" borderId="0" xfId="0" applyFont="1" applyFill="1" applyAlignment="1">
      <alignment horizontal="left" vertical="center" wrapText="1"/>
    </xf>
    <xf numFmtId="0" fontId="40" fillId="22" borderId="10" xfId="0" applyFont="1" applyFill="1" applyBorder="1" applyAlignment="1">
      <alignment horizontal="left" vertical="center"/>
    </xf>
    <xf numFmtId="0" fontId="38" fillId="22" borderId="19" xfId="0" applyFont="1" applyFill="1" applyBorder="1" applyAlignment="1">
      <alignment vertical="center"/>
    </xf>
    <xf numFmtId="0" fontId="38" fillId="22" borderId="46" xfId="0" applyFont="1" applyFill="1" applyBorder="1" applyAlignment="1">
      <alignment horizontal="center" vertical="center"/>
    </xf>
    <xf numFmtId="0" fontId="38" fillId="22" borderId="19" xfId="0" applyFont="1" applyFill="1" applyBorder="1" applyAlignment="1">
      <alignment horizontal="center" vertical="center"/>
    </xf>
    <xf numFmtId="0" fontId="38" fillId="22" borderId="36" xfId="0" applyFont="1" applyFill="1" applyBorder="1" applyAlignment="1">
      <alignment horizontal="center" vertical="center"/>
    </xf>
    <xf numFmtId="0" fontId="40" fillId="23" borderId="19" xfId="0" applyFont="1" applyFill="1" applyBorder="1" applyAlignment="1">
      <alignment horizontal="left" vertical="center"/>
    </xf>
    <xf numFmtId="0" fontId="38" fillId="23" borderId="10" xfId="0" applyFont="1" applyFill="1" applyBorder="1" applyAlignment="1">
      <alignment vertical="center"/>
    </xf>
    <xf numFmtId="0" fontId="38" fillId="23" borderId="10" xfId="0" applyFont="1" applyFill="1" applyBorder="1" applyAlignment="1">
      <alignment horizontal="center" vertical="center"/>
    </xf>
    <xf numFmtId="0" fontId="38" fillId="23" borderId="19" xfId="0" applyFont="1" applyFill="1" applyBorder="1" applyAlignment="1">
      <alignment horizontal="center" vertical="center"/>
    </xf>
    <xf numFmtId="0" fontId="40" fillId="0" borderId="0" xfId="0" applyFont="1" applyAlignment="1">
      <alignment vertical="center"/>
    </xf>
    <xf numFmtId="3" fontId="38" fillId="0" borderId="0" xfId="0" applyNumberFormat="1" applyFont="1"/>
    <xf numFmtId="0" fontId="58" fillId="0" borderId="0" xfId="0" applyFont="1"/>
    <xf numFmtId="0" fontId="58" fillId="0" borderId="0" xfId="0" applyFont="1" applyAlignment="1">
      <alignment vertical="center"/>
    </xf>
    <xf numFmtId="0" fontId="58" fillId="0" borderId="0" xfId="0" applyFont="1" applyAlignment="1">
      <alignment horizontal="left"/>
    </xf>
    <xf numFmtId="0" fontId="58" fillId="0" borderId="0" xfId="0" applyFont="1" applyAlignment="1">
      <alignment horizontal="center"/>
    </xf>
    <xf numFmtId="0" fontId="58" fillId="4" borderId="19" xfId="0" applyFont="1" applyFill="1" applyBorder="1" applyAlignment="1">
      <alignment horizontal="center" vertical="center" wrapText="1"/>
    </xf>
    <xf numFmtId="0" fontId="53" fillId="4" borderId="19" xfId="0" applyFont="1" applyFill="1" applyBorder="1" applyAlignment="1">
      <alignment horizontal="center" vertical="top" wrapText="1"/>
    </xf>
    <xf numFmtId="0" fontId="53" fillId="4" borderId="19" xfId="0" applyFont="1" applyFill="1" applyBorder="1" applyAlignment="1">
      <alignment horizontal="center" vertical="center" wrapText="1"/>
    </xf>
    <xf numFmtId="3" fontId="58" fillId="12" borderId="19" xfId="0" applyNumberFormat="1" applyFont="1" applyFill="1" applyBorder="1" applyAlignment="1">
      <alignment horizontal="center" vertical="center" wrapText="1"/>
    </xf>
    <xf numFmtId="0" fontId="58" fillId="12" borderId="19" xfId="0" applyFont="1" applyFill="1" applyBorder="1" applyAlignment="1">
      <alignment horizontal="center" vertical="center" wrapText="1"/>
    </xf>
    <xf numFmtId="3" fontId="58" fillId="4" borderId="10" xfId="0" applyNumberFormat="1" applyFont="1" applyFill="1" applyBorder="1" applyAlignment="1">
      <alignment horizontal="center" vertical="center" wrapText="1"/>
    </xf>
    <xf numFmtId="0" fontId="58" fillId="4" borderId="10" xfId="0" applyFont="1" applyFill="1" applyBorder="1" applyAlignment="1">
      <alignment horizontal="center" vertical="center" wrapText="1"/>
    </xf>
    <xf numFmtId="0" fontId="58" fillId="4" borderId="1" xfId="0" applyFont="1" applyFill="1" applyBorder="1" applyAlignment="1">
      <alignment horizontal="center" vertical="center" wrapText="1"/>
    </xf>
    <xf numFmtId="0" fontId="53" fillId="18" borderId="1" xfId="0" applyFont="1" applyFill="1" applyBorder="1" applyAlignment="1">
      <alignment vertical="center" wrapText="1"/>
    </xf>
    <xf numFmtId="3" fontId="58" fillId="18" borderId="4" xfId="0" applyNumberFormat="1" applyFont="1" applyFill="1" applyBorder="1" applyAlignment="1">
      <alignment vertical="center" wrapText="1"/>
    </xf>
    <xf numFmtId="0" fontId="58" fillId="18" borderId="4" xfId="0" applyFont="1" applyFill="1" applyBorder="1" applyAlignment="1">
      <alignment vertical="center" wrapText="1"/>
    </xf>
    <xf numFmtId="0" fontId="58" fillId="18" borderId="4" xfId="0" applyFont="1" applyFill="1" applyBorder="1" applyAlignment="1">
      <alignment horizontal="center" vertical="center" wrapText="1"/>
    </xf>
    <xf numFmtId="3" fontId="58" fillId="17" borderId="4" xfId="0" applyNumberFormat="1" applyFont="1" applyFill="1" applyBorder="1" applyAlignment="1">
      <alignment vertical="center" wrapText="1"/>
    </xf>
    <xf numFmtId="0" fontId="38" fillId="0" borderId="3" xfId="0" applyFont="1" applyBorder="1" applyAlignment="1">
      <alignment horizontal="left" vertical="center" wrapText="1"/>
    </xf>
    <xf numFmtId="3" fontId="40" fillId="0" borderId="10" xfId="0" applyNumberFormat="1" applyFont="1" applyBorder="1"/>
    <xf numFmtId="0" fontId="40" fillId="0" borderId="10" xfId="0" applyFont="1" applyBorder="1" applyAlignment="1">
      <alignment horizontal="center" vertical="center"/>
    </xf>
    <xf numFmtId="0" fontId="40" fillId="0" borderId="10" xfId="0" applyFont="1" applyBorder="1" applyAlignment="1">
      <alignment horizontal="center" vertical="center" wrapText="1"/>
    </xf>
    <xf numFmtId="3" fontId="40" fillId="0" borderId="19" xfId="0" applyNumberFormat="1" applyFont="1" applyBorder="1" applyAlignment="1">
      <alignment wrapText="1"/>
    </xf>
    <xf numFmtId="0" fontId="40" fillId="0" borderId="19" xfId="0" applyFont="1" applyBorder="1" applyAlignment="1">
      <alignment horizontal="center" vertical="center" wrapText="1"/>
    </xf>
    <xf numFmtId="0" fontId="40" fillId="8" borderId="19" xfId="0" applyFont="1" applyFill="1" applyBorder="1" applyAlignment="1">
      <alignment horizontal="center" vertical="center" wrapText="1"/>
    </xf>
    <xf numFmtId="0" fontId="40" fillId="0" borderId="19" xfId="0" applyFont="1" applyBorder="1" applyAlignment="1">
      <alignment horizontal="center" vertical="center"/>
    </xf>
    <xf numFmtId="0" fontId="38" fillId="8" borderId="1" xfId="0" applyFont="1" applyFill="1" applyBorder="1" applyAlignment="1">
      <alignment horizontal="left" vertical="center" wrapText="1"/>
    </xf>
    <xf numFmtId="3" fontId="40" fillId="8" borderId="1" xfId="0" applyNumberFormat="1" applyFont="1" applyFill="1" applyBorder="1"/>
    <xf numFmtId="0" fontId="40" fillId="8" borderId="1" xfId="0" applyFont="1" applyFill="1" applyBorder="1" applyAlignment="1">
      <alignment horizontal="center" vertical="center"/>
    </xf>
    <xf numFmtId="0" fontId="40" fillId="8" borderId="1" xfId="0" applyFont="1" applyFill="1" applyBorder="1" applyAlignment="1">
      <alignment horizontal="center" vertical="center" wrapText="1"/>
    </xf>
    <xf numFmtId="0" fontId="40" fillId="0" borderId="1" xfId="0" applyFont="1" applyBorder="1" applyAlignment="1">
      <alignment horizontal="center" vertical="center"/>
    </xf>
    <xf numFmtId="3" fontId="40" fillId="8" borderId="22" xfId="0" applyNumberFormat="1" applyFont="1" applyFill="1" applyBorder="1"/>
    <xf numFmtId="0" fontId="40" fillId="0" borderId="46" xfId="0" applyFont="1" applyBorder="1" applyAlignment="1">
      <alignment horizontal="center" vertical="center"/>
    </xf>
    <xf numFmtId="0" fontId="38" fillId="8" borderId="4" xfId="0" applyFont="1" applyFill="1" applyBorder="1" applyAlignment="1">
      <alignment vertical="center" wrapText="1"/>
    </xf>
    <xf numFmtId="0" fontId="38" fillId="8" borderId="4" xfId="0" applyFont="1" applyFill="1" applyBorder="1" applyAlignment="1">
      <alignment horizontal="center" vertical="center"/>
    </xf>
    <xf numFmtId="0" fontId="38" fillId="8" borderId="4" xfId="0" applyFont="1" applyFill="1" applyBorder="1" applyAlignment="1">
      <alignment horizontal="left" vertical="center" wrapText="1"/>
    </xf>
    <xf numFmtId="0" fontId="38" fillId="8" borderId="1" xfId="0" applyFont="1" applyFill="1" applyBorder="1" applyAlignment="1">
      <alignment vertical="center" wrapText="1"/>
    </xf>
    <xf numFmtId="0" fontId="38" fillId="8" borderId="62" xfId="0" applyFont="1" applyFill="1" applyBorder="1" applyAlignment="1">
      <alignment horizontal="center" vertical="center" wrapText="1"/>
    </xf>
    <xf numFmtId="0" fontId="38" fillId="19" borderId="4" xfId="0" applyFont="1" applyFill="1" applyBorder="1" applyAlignment="1">
      <alignment vertical="center" wrapText="1"/>
    </xf>
    <xf numFmtId="3" fontId="38" fillId="8" borderId="22" xfId="0" applyNumberFormat="1" applyFont="1" applyFill="1" applyBorder="1"/>
    <xf numFmtId="0" fontId="38" fillId="0" borderId="4" xfId="0" applyFont="1" applyBorder="1" applyAlignment="1">
      <alignment horizontal="left" vertical="center" wrapText="1"/>
    </xf>
    <xf numFmtId="3" fontId="40" fillId="0" borderId="22" xfId="0" applyNumberFormat="1" applyFont="1" applyBorder="1" applyAlignment="1">
      <alignment horizontal="right"/>
    </xf>
    <xf numFmtId="0" fontId="40" fillId="0" borderId="22" xfId="0" applyFont="1" applyBorder="1" applyAlignment="1">
      <alignment horizontal="center" vertical="center"/>
    </xf>
    <xf numFmtId="0" fontId="40" fillId="0" borderId="22" xfId="0" applyFont="1" applyBorder="1" applyAlignment="1">
      <alignment horizontal="center" vertical="center" wrapText="1"/>
    </xf>
    <xf numFmtId="0" fontId="29" fillId="0" borderId="22" xfId="7" applyFont="1" applyBorder="1" applyAlignment="1">
      <alignment vertical="center" wrapText="1"/>
    </xf>
    <xf numFmtId="3" fontId="40" fillId="0" borderId="19" xfId="0" applyNumberFormat="1" applyFont="1" applyBorder="1" applyAlignment="1">
      <alignment horizontal="right"/>
    </xf>
    <xf numFmtId="3" fontId="40" fillId="8" borderId="19" xfId="0" applyNumberFormat="1" applyFont="1" applyFill="1" applyBorder="1" applyAlignment="1">
      <alignment horizontal="right"/>
    </xf>
    <xf numFmtId="0" fontId="29" fillId="8" borderId="46" xfId="7" applyFont="1" applyFill="1" applyBorder="1" applyAlignment="1">
      <alignment vertical="center" wrapText="1"/>
    </xf>
    <xf numFmtId="0" fontId="40" fillId="8" borderId="25" xfId="0" applyFont="1" applyFill="1" applyBorder="1" applyAlignment="1">
      <alignment horizontal="center" vertical="center"/>
    </xf>
    <xf numFmtId="0" fontId="40" fillId="8" borderId="26" xfId="0" applyFont="1" applyFill="1" applyBorder="1" applyAlignment="1">
      <alignment horizontal="center" vertical="center" wrapText="1"/>
    </xf>
    <xf numFmtId="0" fontId="38" fillId="0" borderId="1" xfId="0" applyFont="1" applyBorder="1" applyAlignment="1">
      <alignment horizontal="center" vertical="center" wrapText="1"/>
    </xf>
    <xf numFmtId="0" fontId="38" fillId="0" borderId="22" xfId="0" applyFont="1" applyBorder="1" applyAlignment="1">
      <alignment horizontal="center" vertical="center" wrapText="1"/>
    </xf>
    <xf numFmtId="0" fontId="38" fillId="0" borderId="1" xfId="0" applyFont="1" applyBorder="1" applyAlignment="1">
      <alignment horizontal="left" vertical="center" wrapText="1"/>
    </xf>
    <xf numFmtId="0" fontId="40" fillId="8" borderId="4" xfId="0" applyFont="1" applyFill="1" applyBorder="1" applyAlignment="1">
      <alignment horizontal="left" vertical="center" wrapText="1"/>
    </xf>
    <xf numFmtId="0" fontId="38" fillId="0" borderId="1" xfId="0" applyFont="1" applyBorder="1" applyAlignment="1">
      <alignment vertical="center" wrapText="1"/>
    </xf>
    <xf numFmtId="3" fontId="40" fillId="0" borderId="10" xfId="0" applyNumberFormat="1" applyFont="1" applyBorder="1" applyAlignment="1">
      <alignment horizontal="right"/>
    </xf>
    <xf numFmtId="3" fontId="38" fillId="0" borderId="19" xfId="0" applyNumberFormat="1" applyFont="1" applyBorder="1" applyAlignment="1">
      <alignment horizontal="right"/>
    </xf>
    <xf numFmtId="0" fontId="40" fillId="0" borderId="46" xfId="0" applyFont="1" applyBorder="1" applyAlignment="1">
      <alignment horizontal="center" vertical="center" wrapText="1"/>
    </xf>
    <xf numFmtId="3" fontId="40" fillId="0" borderId="1" xfId="0" applyNumberFormat="1" applyFont="1" applyBorder="1"/>
    <xf numFmtId="0" fontId="38" fillId="8" borderId="22" xfId="0" applyFont="1" applyFill="1" applyBorder="1" applyAlignment="1">
      <alignment horizontal="left" vertical="center"/>
    </xf>
    <xf numFmtId="0" fontId="40" fillId="8" borderId="36" xfId="0" applyFont="1" applyFill="1" applyBorder="1" applyAlignment="1">
      <alignment horizontal="left" vertical="center" wrapText="1"/>
    </xf>
    <xf numFmtId="3" fontId="40" fillId="0" borderId="46" xfId="0" applyNumberFormat="1" applyFont="1" applyBorder="1"/>
    <xf numFmtId="0" fontId="38" fillId="8" borderId="19" xfId="0" applyFont="1" applyFill="1" applyBorder="1" applyAlignment="1">
      <alignment horizontal="left" vertical="center"/>
    </xf>
    <xf numFmtId="0" fontId="40" fillId="8" borderId="25" xfId="0" applyFont="1" applyFill="1" applyBorder="1" applyAlignment="1">
      <alignment horizontal="left" vertical="center" wrapText="1"/>
    </xf>
    <xf numFmtId="3" fontId="40" fillId="0" borderId="3" xfId="0" applyNumberFormat="1" applyFont="1" applyBorder="1"/>
    <xf numFmtId="0" fontId="38" fillId="0" borderId="3" xfId="0" applyFont="1" applyBorder="1" applyAlignment="1">
      <alignment horizontal="center" vertical="center"/>
    </xf>
    <xf numFmtId="0" fontId="38" fillId="8" borderId="1" xfId="0" applyFont="1" applyFill="1" applyBorder="1" applyAlignment="1">
      <alignment horizontal="left" vertical="center"/>
    </xf>
    <xf numFmtId="3" fontId="40" fillId="0" borderId="1" xfId="0" applyNumberFormat="1" applyFont="1" applyBorder="1" applyAlignment="1">
      <alignment horizontal="right"/>
    </xf>
    <xf numFmtId="3" fontId="53" fillId="24" borderId="46" xfId="0" applyNumberFormat="1" applyFont="1" applyFill="1" applyBorder="1"/>
    <xf numFmtId="0" fontId="40" fillId="24" borderId="46" xfId="0" applyFont="1" applyFill="1" applyBorder="1" applyAlignment="1">
      <alignment vertical="center"/>
    </xf>
    <xf numFmtId="0" fontId="40" fillId="8" borderId="1" xfId="0" applyFont="1" applyFill="1" applyBorder="1" applyAlignment="1">
      <alignment horizontal="left" vertical="center" wrapText="1"/>
    </xf>
    <xf numFmtId="3" fontId="40" fillId="8" borderId="26" xfId="0" applyNumberFormat="1" applyFont="1" applyFill="1" applyBorder="1"/>
    <xf numFmtId="0" fontId="40" fillId="8" borderId="0" xfId="0" applyFont="1" applyFill="1"/>
    <xf numFmtId="0" fontId="38" fillId="0" borderId="47" xfId="0" applyFont="1" applyBorder="1" applyAlignment="1">
      <alignment horizontal="left" vertical="center" wrapText="1"/>
    </xf>
    <xf numFmtId="3" fontId="40" fillId="0" borderId="10" xfId="0" applyNumberFormat="1" applyFont="1" applyBorder="1" applyAlignment="1">
      <alignment wrapText="1"/>
    </xf>
    <xf numFmtId="0" fontId="38" fillId="0" borderId="31" xfId="0" applyFont="1" applyBorder="1" applyAlignment="1">
      <alignment horizontal="left" vertical="center" wrapText="1"/>
    </xf>
    <xf numFmtId="0" fontId="40" fillId="8" borderId="10" xfId="0" applyFont="1" applyFill="1" applyBorder="1" applyAlignment="1">
      <alignment horizontal="left" vertical="center" wrapText="1"/>
    </xf>
    <xf numFmtId="0" fontId="38" fillId="8" borderId="10" xfId="0" applyFont="1" applyFill="1" applyBorder="1" applyAlignment="1">
      <alignment horizontal="center" vertical="center" wrapText="1"/>
    </xf>
    <xf numFmtId="0" fontId="53" fillId="24" borderId="10" xfId="0" applyFont="1" applyFill="1" applyBorder="1" applyAlignment="1">
      <alignment horizontal="left" vertical="center"/>
    </xf>
    <xf numFmtId="0" fontId="53" fillId="24" borderId="10" xfId="0" applyFont="1" applyFill="1" applyBorder="1" applyAlignment="1">
      <alignment vertical="center"/>
    </xf>
    <xf numFmtId="0" fontId="38" fillId="8" borderId="20" xfId="0" applyFont="1" applyFill="1" applyBorder="1" applyAlignment="1">
      <alignment horizontal="center" vertical="center" wrapText="1"/>
    </xf>
    <xf numFmtId="0" fontId="58" fillId="4" borderId="10" xfId="0" applyFont="1" applyFill="1" applyBorder="1" applyAlignment="1">
      <alignment horizontal="left" vertical="center" wrapText="1"/>
    </xf>
    <xf numFmtId="0" fontId="58" fillId="4" borderId="19" xfId="0" applyFont="1" applyFill="1" applyBorder="1" applyAlignment="1">
      <alignment horizontal="left" vertical="center" wrapText="1"/>
    </xf>
    <xf numFmtId="0" fontId="53" fillId="12" borderId="19" xfId="0" applyFont="1" applyFill="1" applyBorder="1" applyAlignment="1">
      <alignment horizontal="center" vertical="center" wrapText="1"/>
    </xf>
    <xf numFmtId="0" fontId="53" fillId="4" borderId="10" xfId="0" applyFont="1" applyFill="1" applyBorder="1" applyAlignment="1">
      <alignment horizontal="center" vertical="center" wrapText="1"/>
    </xf>
    <xf numFmtId="0" fontId="53" fillId="4" borderId="10" xfId="0" applyFont="1" applyFill="1" applyBorder="1" applyAlignment="1">
      <alignment horizontal="left" vertical="center" wrapText="1"/>
    </xf>
    <xf numFmtId="3" fontId="99" fillId="4" borderId="10" xfId="0" applyNumberFormat="1" applyFont="1" applyFill="1" applyBorder="1" applyAlignment="1">
      <alignment horizontal="center" vertical="center" wrapText="1"/>
    </xf>
    <xf numFmtId="0" fontId="53" fillId="4" borderId="19" xfId="0" applyFont="1" applyFill="1" applyBorder="1" applyAlignment="1">
      <alignment horizontal="left" vertical="center" wrapText="1"/>
    </xf>
    <xf numFmtId="3" fontId="99" fillId="4" borderId="19" xfId="0" applyNumberFormat="1" applyFont="1" applyFill="1" applyBorder="1" applyAlignment="1">
      <alignment horizontal="center" vertical="center" wrapText="1"/>
    </xf>
    <xf numFmtId="0" fontId="58" fillId="4" borderId="1" xfId="0" applyFont="1" applyFill="1" applyBorder="1" applyAlignment="1">
      <alignment horizontal="left" vertical="center" wrapText="1"/>
    </xf>
    <xf numFmtId="0" fontId="58" fillId="4" borderId="29" xfId="0" applyFont="1" applyFill="1" applyBorder="1" applyAlignment="1">
      <alignment horizontal="center" vertical="center" wrapText="1"/>
    </xf>
    <xf numFmtId="3" fontId="99" fillId="4" borderId="1" xfId="0" applyNumberFormat="1" applyFont="1" applyFill="1" applyBorder="1" applyAlignment="1">
      <alignment horizontal="center" vertical="center" wrapText="1"/>
    </xf>
    <xf numFmtId="0" fontId="38" fillId="0" borderId="25" xfId="0" applyFont="1" applyBorder="1" applyAlignment="1">
      <alignment horizontal="left" vertical="center"/>
    </xf>
    <xf numFmtId="0" fontId="40" fillId="0" borderId="21" xfId="0" applyFont="1" applyBorder="1" applyAlignment="1">
      <alignment horizontal="left" vertical="center" wrapText="1"/>
    </xf>
    <xf numFmtId="3" fontId="38" fillId="0" borderId="10" xfId="0" applyNumberFormat="1" applyFont="1" applyBorder="1"/>
    <xf numFmtId="0" fontId="40" fillId="8" borderId="21" xfId="0" applyFont="1" applyFill="1" applyBorder="1" applyAlignment="1">
      <alignment horizontal="left" vertical="center" wrapText="1"/>
    </xf>
    <xf numFmtId="3" fontId="38" fillId="0" borderId="19" xfId="0" applyNumberFormat="1" applyFont="1" applyBorder="1" applyAlignment="1">
      <alignment wrapText="1"/>
    </xf>
    <xf numFmtId="0" fontId="38" fillId="0" borderId="46" xfId="0" applyFont="1" applyBorder="1" applyAlignment="1">
      <alignment horizontal="left" vertical="center"/>
    </xf>
    <xf numFmtId="0" fontId="38" fillId="0" borderId="46" xfId="0" applyFont="1" applyBorder="1" applyAlignment="1">
      <alignment vertical="center" wrapText="1"/>
    </xf>
    <xf numFmtId="0" fontId="40" fillId="0" borderId="19" xfId="0" applyFont="1" applyBorder="1" applyAlignment="1">
      <alignment horizontal="left" vertical="center" wrapText="1"/>
    </xf>
    <xf numFmtId="3" fontId="38" fillId="8" borderId="1" xfId="0" applyNumberFormat="1" applyFont="1" applyFill="1" applyBorder="1"/>
    <xf numFmtId="3" fontId="38" fillId="8" borderId="27" xfId="0" applyNumberFormat="1" applyFont="1" applyFill="1" applyBorder="1"/>
    <xf numFmtId="0" fontId="38" fillId="0" borderId="22" xfId="0" applyFont="1" applyBorder="1" applyAlignment="1">
      <alignment horizontal="left" vertical="center" wrapText="1"/>
    </xf>
    <xf numFmtId="0" fontId="40" fillId="8" borderId="46" xfId="0" applyFont="1" applyFill="1" applyBorder="1" applyAlignment="1">
      <alignment horizontal="left" vertical="center" wrapText="1"/>
    </xf>
    <xf numFmtId="3" fontId="38" fillId="8" borderId="10" xfId="0" applyNumberFormat="1" applyFont="1" applyFill="1" applyBorder="1"/>
    <xf numFmtId="0" fontId="38" fillId="0" borderId="19" xfId="0" applyFont="1" applyBorder="1" applyAlignment="1">
      <alignment vertical="center" wrapText="1"/>
    </xf>
    <xf numFmtId="0" fontId="40" fillId="8" borderId="3" xfId="0" applyFont="1" applyFill="1" applyBorder="1" applyAlignment="1">
      <alignment horizontal="left" vertical="center" wrapText="1"/>
    </xf>
    <xf numFmtId="0" fontId="38" fillId="8" borderId="25" xfId="0" applyFont="1" applyFill="1" applyBorder="1" applyAlignment="1">
      <alignment horizontal="center" vertical="center" wrapText="1"/>
    </xf>
    <xf numFmtId="0" fontId="38" fillId="8" borderId="26" xfId="0" applyFont="1" applyFill="1" applyBorder="1" applyAlignment="1">
      <alignment horizontal="center" vertical="center" wrapText="1"/>
    </xf>
    <xf numFmtId="0" fontId="40" fillId="8" borderId="1" xfId="0" applyFont="1" applyFill="1" applyBorder="1"/>
    <xf numFmtId="0" fontId="46" fillId="8" borderId="0" xfId="0" applyFont="1" applyFill="1"/>
    <xf numFmtId="3" fontId="38" fillId="8" borderId="4" xfId="0" applyNumberFormat="1" applyFont="1" applyFill="1" applyBorder="1"/>
    <xf numFmtId="0" fontId="38" fillId="8" borderId="4" xfId="0" applyFont="1" applyFill="1" applyBorder="1" applyAlignment="1">
      <alignment horizontal="center" vertical="center" wrapText="1"/>
    </xf>
    <xf numFmtId="0" fontId="38" fillId="8" borderId="37" xfId="0" applyFont="1" applyFill="1" applyBorder="1" applyAlignment="1">
      <alignment horizontal="center" vertical="center" wrapText="1"/>
    </xf>
    <xf numFmtId="0" fontId="38" fillId="8" borderId="1" xfId="0" applyFont="1" applyFill="1" applyBorder="1" applyAlignment="1">
      <alignment horizontal="center" vertical="center" wrapText="1"/>
    </xf>
    <xf numFmtId="3" fontId="39" fillId="19" borderId="22" xfId="0" applyNumberFormat="1" applyFont="1" applyFill="1" applyBorder="1"/>
    <xf numFmtId="3" fontId="39" fillId="20" borderId="10" xfId="0" applyNumberFormat="1" applyFont="1" applyFill="1" applyBorder="1"/>
    <xf numFmtId="0" fontId="38" fillId="0" borderId="10" xfId="0" applyFont="1" applyBorder="1" applyAlignment="1">
      <alignment vertical="center" wrapText="1"/>
    </xf>
    <xf numFmtId="3" fontId="39" fillId="8" borderId="22" xfId="0" applyNumberFormat="1" applyFont="1" applyFill="1" applyBorder="1"/>
    <xf numFmtId="3" fontId="39" fillId="8" borderId="28" xfId="0" applyNumberFormat="1" applyFont="1" applyFill="1" applyBorder="1"/>
    <xf numFmtId="0" fontId="38" fillId="8" borderId="21" xfId="0" applyFont="1" applyFill="1" applyBorder="1" applyAlignment="1">
      <alignment horizontal="center" vertical="center" wrapText="1"/>
    </xf>
    <xf numFmtId="0" fontId="38" fillId="0" borderId="46" xfId="0" applyFont="1" applyBorder="1" applyAlignment="1">
      <alignment horizontal="left" vertical="center" wrapText="1"/>
    </xf>
    <xf numFmtId="0" fontId="38" fillId="8" borderId="19" xfId="0" applyFont="1" applyFill="1" applyBorder="1" applyAlignment="1">
      <alignment vertical="center" wrapText="1"/>
    </xf>
    <xf numFmtId="0" fontId="38" fillId="8" borderId="19" xfId="0" applyFont="1" applyFill="1" applyBorder="1" applyAlignment="1">
      <alignment horizontal="center" vertical="center" wrapText="1"/>
    </xf>
    <xf numFmtId="0" fontId="38" fillId="0" borderId="19" xfId="0" applyFont="1" applyBorder="1" applyAlignment="1">
      <alignment horizontal="left" vertical="center"/>
    </xf>
    <xf numFmtId="0" fontId="40" fillId="0" borderId="10" xfId="0" applyFont="1" applyBorder="1" applyAlignment="1">
      <alignment horizontal="left" vertical="center" wrapText="1"/>
    </xf>
    <xf numFmtId="3" fontId="38" fillId="0" borderId="22" xfId="0" applyNumberFormat="1" applyFont="1" applyBorder="1"/>
    <xf numFmtId="3" fontId="40" fillId="0" borderId="22" xfId="0" applyNumberFormat="1" applyFont="1" applyBorder="1"/>
    <xf numFmtId="0" fontId="38" fillId="0" borderId="46" xfId="0" applyFont="1" applyBorder="1" applyAlignment="1">
      <alignment horizontal="center" vertical="center" wrapText="1"/>
    </xf>
    <xf numFmtId="0" fontId="29" fillId="0" borderId="19" xfId="7" applyFont="1" applyBorder="1" applyAlignment="1">
      <alignment horizontal="center" vertical="center"/>
    </xf>
    <xf numFmtId="0" fontId="29" fillId="0" borderId="46" xfId="0" applyFont="1" applyBorder="1" applyAlignment="1">
      <alignment vertical="center" wrapText="1"/>
    </xf>
    <xf numFmtId="0" fontId="40" fillId="0" borderId="30" xfId="0" applyFont="1" applyBorder="1" applyAlignment="1">
      <alignment horizontal="left" vertical="center" wrapText="1"/>
    </xf>
    <xf numFmtId="3" fontId="38" fillId="0" borderId="22" xfId="0" applyNumberFormat="1" applyFont="1" applyBorder="1" applyAlignment="1">
      <alignment horizontal="right"/>
    </xf>
    <xf numFmtId="0" fontId="38" fillId="8" borderId="26" xfId="0" applyFont="1" applyFill="1" applyBorder="1" applyAlignment="1">
      <alignment vertical="center" wrapText="1"/>
    </xf>
    <xf numFmtId="3" fontId="38" fillId="8" borderId="19" xfId="0" applyNumberFormat="1" applyFont="1" applyFill="1" applyBorder="1" applyAlignment="1">
      <alignment horizontal="right"/>
    </xf>
    <xf numFmtId="3" fontId="38" fillId="8" borderId="10" xfId="0" applyNumberFormat="1" applyFont="1" applyFill="1" applyBorder="1" applyAlignment="1">
      <alignment horizontal="right"/>
    </xf>
    <xf numFmtId="3" fontId="38" fillId="0" borderId="10" xfId="0" applyNumberFormat="1" applyFont="1" applyBorder="1" applyAlignment="1">
      <alignment horizontal="right"/>
    </xf>
    <xf numFmtId="0" fontId="38" fillId="0" borderId="46" xfId="0" applyFont="1" applyBorder="1" applyAlignment="1">
      <alignment horizontal="center" vertical="center"/>
    </xf>
    <xf numFmtId="0" fontId="38" fillId="8" borderId="46" xfId="0" applyFont="1" applyFill="1" applyBorder="1" applyAlignment="1">
      <alignment vertical="center" wrapText="1"/>
    </xf>
    <xf numFmtId="0" fontId="38" fillId="0" borderId="36" xfId="0" applyFont="1" applyBorder="1" applyAlignment="1">
      <alignment horizontal="center" vertical="center" wrapText="1"/>
    </xf>
    <xf numFmtId="0" fontId="38" fillId="0" borderId="10" xfId="0" applyFont="1" applyBorder="1" applyAlignment="1">
      <alignment vertical="center"/>
    </xf>
    <xf numFmtId="0" fontId="40" fillId="0" borderId="37" xfId="0" applyFont="1" applyBorder="1" applyAlignment="1">
      <alignment horizontal="center" vertical="center" wrapText="1"/>
    </xf>
    <xf numFmtId="0" fontId="38" fillId="0" borderId="21" xfId="0" applyFont="1" applyBorder="1" applyAlignment="1">
      <alignment vertical="center" wrapText="1"/>
    </xf>
    <xf numFmtId="3" fontId="39" fillId="24" borderId="19" xfId="0" applyNumberFormat="1" applyFont="1" applyFill="1" applyBorder="1"/>
    <xf numFmtId="0" fontId="29" fillId="0" borderId="46" xfId="7" applyFont="1" applyBorder="1" applyAlignment="1">
      <alignment vertical="center" wrapText="1"/>
    </xf>
    <xf numFmtId="0" fontId="40" fillId="8" borderId="19" xfId="0" applyFont="1" applyFill="1" applyBorder="1" applyAlignment="1">
      <alignment horizontal="left" vertical="center" wrapText="1"/>
    </xf>
    <xf numFmtId="0" fontId="29" fillId="0" borderId="19" xfId="0" applyFont="1" applyBorder="1" applyAlignment="1">
      <alignment horizontal="center" vertical="center" wrapText="1"/>
    </xf>
    <xf numFmtId="3" fontId="38" fillId="0" borderId="1" xfId="0" applyNumberFormat="1" applyFont="1" applyBorder="1" applyAlignment="1">
      <alignment wrapText="1"/>
    </xf>
    <xf numFmtId="3" fontId="38" fillId="0" borderId="21" xfId="0" applyNumberFormat="1" applyFont="1" applyBorder="1" applyAlignment="1">
      <alignment wrapText="1"/>
    </xf>
    <xf numFmtId="3" fontId="38" fillId="0" borderId="10" xfId="0" applyNumberFormat="1" applyFont="1" applyBorder="1" applyAlignment="1">
      <alignment wrapText="1"/>
    </xf>
    <xf numFmtId="0" fontId="38" fillId="0" borderId="10" xfId="0" applyFont="1" applyBorder="1" applyAlignment="1">
      <alignment horizontal="center" vertical="center" wrapText="1"/>
    </xf>
    <xf numFmtId="3" fontId="38" fillId="0" borderId="22" xfId="0" applyNumberFormat="1" applyFont="1" applyBorder="1" applyAlignment="1">
      <alignment wrapText="1"/>
    </xf>
    <xf numFmtId="3" fontId="38" fillId="0" borderId="26" xfId="0" applyNumberFormat="1" applyFont="1" applyBorder="1" applyAlignment="1">
      <alignment wrapText="1"/>
    </xf>
    <xf numFmtId="0" fontId="40" fillId="8" borderId="22" xfId="0" applyFont="1" applyFill="1" applyBorder="1" applyAlignment="1">
      <alignment horizontal="left" vertical="center" wrapText="1"/>
    </xf>
    <xf numFmtId="0" fontId="29" fillId="0" borderId="19" xfId="7" applyFont="1" applyBorder="1" applyAlignment="1">
      <alignment horizontal="center" vertical="center" wrapText="1"/>
    </xf>
    <xf numFmtId="3" fontId="38" fillId="8" borderId="1" xfId="0" applyNumberFormat="1" applyFont="1" applyFill="1" applyBorder="1" applyAlignment="1">
      <alignment wrapText="1"/>
    </xf>
    <xf numFmtId="3" fontId="38" fillId="8" borderId="26" xfId="0" applyNumberFormat="1" applyFont="1" applyFill="1" applyBorder="1" applyAlignment="1">
      <alignment wrapText="1"/>
    </xf>
    <xf numFmtId="3" fontId="38" fillId="8" borderId="19" xfId="0" applyNumberFormat="1" applyFont="1" applyFill="1" applyBorder="1" applyAlignment="1">
      <alignment wrapText="1"/>
    </xf>
    <xf numFmtId="0" fontId="29" fillId="8" borderId="19" xfId="7" applyFont="1" applyFill="1" applyBorder="1" applyAlignment="1">
      <alignment horizontal="center" vertical="center" wrapText="1"/>
    </xf>
    <xf numFmtId="0" fontId="38" fillId="0" borderId="3" xfId="0" applyFont="1" applyBorder="1" applyAlignment="1">
      <alignment horizontal="center" vertical="center" wrapText="1"/>
    </xf>
    <xf numFmtId="3" fontId="38" fillId="8" borderId="4" xfId="0" applyNumberFormat="1" applyFont="1" applyFill="1" applyBorder="1" applyAlignment="1">
      <alignment wrapText="1"/>
    </xf>
    <xf numFmtId="0" fontId="40" fillId="24" borderId="0" xfId="0" applyFont="1" applyFill="1" applyAlignment="1">
      <alignment horizontal="left" vertical="center"/>
    </xf>
    <xf numFmtId="3" fontId="39" fillId="24" borderId="22" xfId="0" applyNumberFormat="1" applyFont="1" applyFill="1" applyBorder="1"/>
    <xf numFmtId="0" fontId="38" fillId="24" borderId="22" xfId="0" applyFont="1" applyFill="1" applyBorder="1" applyAlignment="1">
      <alignment horizontal="center" vertical="center"/>
    </xf>
    <xf numFmtId="0" fontId="38" fillId="8" borderId="10" xfId="0" applyFont="1" applyFill="1" applyBorder="1" applyAlignment="1">
      <alignment horizontal="left" vertical="center"/>
    </xf>
    <xf numFmtId="0" fontId="38" fillId="8" borderId="19" xfId="0" applyFont="1" applyFill="1" applyBorder="1" applyAlignment="1">
      <alignment horizontal="left" vertical="center" wrapText="1"/>
    </xf>
    <xf numFmtId="0" fontId="38" fillId="8" borderId="20" xfId="0" applyFont="1" applyFill="1" applyBorder="1" applyAlignment="1">
      <alignment vertical="center" wrapText="1"/>
    </xf>
    <xf numFmtId="0" fontId="38" fillId="8" borderId="10" xfId="0" applyFont="1" applyFill="1" applyBorder="1" applyAlignment="1">
      <alignment vertical="center" wrapText="1"/>
    </xf>
    <xf numFmtId="0" fontId="38" fillId="0" borderId="22" xfId="0" applyFont="1" applyBorder="1" applyAlignment="1">
      <alignment vertical="center" wrapText="1"/>
    </xf>
    <xf numFmtId="0" fontId="40" fillId="0" borderId="10" xfId="0" applyFont="1" applyBorder="1" applyAlignment="1">
      <alignment vertical="center" wrapText="1"/>
    </xf>
    <xf numFmtId="0" fontId="29" fillId="8" borderId="19" xfId="0" applyFont="1" applyFill="1" applyBorder="1" applyAlignment="1">
      <alignment vertical="center" wrapText="1"/>
    </xf>
    <xf numFmtId="3" fontId="38" fillId="0" borderId="18" xfId="0" applyNumberFormat="1" applyFont="1" applyBorder="1"/>
    <xf numFmtId="3" fontId="38" fillId="0" borderId="26" xfId="0" applyNumberFormat="1" applyFont="1" applyBorder="1"/>
    <xf numFmtId="3" fontId="38" fillId="0" borderId="46" xfId="0" applyNumberFormat="1" applyFont="1" applyBorder="1"/>
    <xf numFmtId="3" fontId="38" fillId="0" borderId="3" xfId="0" applyNumberFormat="1" applyFont="1" applyBorder="1"/>
    <xf numFmtId="0" fontId="40" fillId="24" borderId="46" xfId="0" applyFont="1" applyFill="1" applyBorder="1" applyAlignment="1">
      <alignment horizontal="left" vertical="center"/>
    </xf>
    <xf numFmtId="3" fontId="39" fillId="24" borderId="46" xfId="0" applyNumberFormat="1" applyFont="1" applyFill="1" applyBorder="1"/>
    <xf numFmtId="0" fontId="38" fillId="24" borderId="36" xfId="0" applyFont="1" applyFill="1" applyBorder="1" applyAlignment="1">
      <alignment horizontal="center" vertical="center"/>
    </xf>
    <xf numFmtId="0" fontId="38" fillId="24" borderId="4" xfId="0" applyFont="1" applyFill="1" applyBorder="1" applyAlignment="1">
      <alignment horizontal="center" vertical="center"/>
    </xf>
    <xf numFmtId="0" fontId="40" fillId="8" borderId="37" xfId="0" applyFont="1" applyFill="1" applyBorder="1" applyAlignment="1">
      <alignment horizontal="left" vertical="center" wrapText="1"/>
    </xf>
    <xf numFmtId="0" fontId="38" fillId="0" borderId="10" xfId="0" applyFont="1" applyBorder="1" applyAlignment="1">
      <alignment horizontal="left" vertical="center" wrapText="1"/>
    </xf>
    <xf numFmtId="0" fontId="40" fillId="8" borderId="26" xfId="0" applyFont="1" applyFill="1" applyBorder="1" applyAlignment="1">
      <alignment horizontal="left" vertical="center" wrapText="1"/>
    </xf>
    <xf numFmtId="0" fontId="38" fillId="8" borderId="22" xfId="0" applyFont="1" applyFill="1" applyBorder="1" applyAlignment="1">
      <alignment vertical="center" wrapText="1"/>
    </xf>
    <xf numFmtId="0" fontId="40" fillId="8" borderId="10" xfId="0" applyFont="1" applyFill="1" applyBorder="1" applyAlignment="1">
      <alignment horizontal="left" vertical="center"/>
    </xf>
    <xf numFmtId="0" fontId="38" fillId="8" borderId="22" xfId="0" applyFont="1" applyFill="1" applyBorder="1" applyAlignment="1">
      <alignment horizontal="center" vertical="center" wrapText="1"/>
    </xf>
    <xf numFmtId="0" fontId="40" fillId="8" borderId="19" xfId="0" applyFont="1" applyFill="1" applyBorder="1" applyAlignment="1">
      <alignment vertical="center" wrapText="1"/>
    </xf>
    <xf numFmtId="3" fontId="38" fillId="0" borderId="27" xfId="0" applyNumberFormat="1" applyFont="1" applyBorder="1"/>
    <xf numFmtId="3" fontId="40" fillId="0" borderId="26" xfId="0" applyNumberFormat="1" applyFont="1" applyBorder="1"/>
    <xf numFmtId="3" fontId="38" fillId="0" borderId="11" xfId="0" applyNumberFormat="1" applyFont="1" applyBorder="1"/>
    <xf numFmtId="3" fontId="40" fillId="0" borderId="11" xfId="0" applyNumberFormat="1" applyFont="1" applyBorder="1"/>
    <xf numFmtId="0" fontId="38" fillId="8" borderId="29" xfId="0" applyFont="1" applyFill="1" applyBorder="1" applyAlignment="1">
      <alignment vertical="center" wrapText="1"/>
    </xf>
    <xf numFmtId="3" fontId="40" fillId="8" borderId="37" xfId="0" applyNumberFormat="1" applyFont="1" applyFill="1" applyBorder="1"/>
    <xf numFmtId="0" fontId="40" fillId="0" borderId="36" xfId="0" applyFont="1" applyBorder="1" applyAlignment="1">
      <alignment horizontal="center" vertical="center"/>
    </xf>
    <xf numFmtId="0" fontId="38" fillId="0" borderId="37" xfId="0" applyFont="1" applyBorder="1" applyAlignment="1">
      <alignment horizontal="center" vertical="center"/>
    </xf>
    <xf numFmtId="0" fontId="38" fillId="8" borderId="1" xfId="0" applyFont="1" applyFill="1" applyBorder="1" applyAlignment="1">
      <alignment vertical="center"/>
    </xf>
    <xf numFmtId="0" fontId="38" fillId="0" borderId="4" xfId="0" applyFont="1" applyBorder="1" applyAlignment="1">
      <alignment horizontal="center" vertical="center" wrapText="1"/>
    </xf>
    <xf numFmtId="0" fontId="38" fillId="0" borderId="31" xfId="0" applyFont="1" applyBorder="1" applyAlignment="1">
      <alignment horizontal="center" vertical="center" wrapText="1"/>
    </xf>
    <xf numFmtId="0" fontId="38" fillId="8" borderId="10" xfId="0" applyFont="1" applyFill="1" applyBorder="1" applyAlignment="1">
      <alignment horizontal="left" vertical="center" wrapText="1"/>
    </xf>
    <xf numFmtId="3" fontId="38" fillId="8" borderId="10" xfId="0" applyNumberFormat="1" applyFont="1" applyFill="1" applyBorder="1" applyAlignment="1">
      <alignment wrapText="1"/>
    </xf>
    <xf numFmtId="0" fontId="38" fillId="8" borderId="0" xfId="0" applyFont="1" applyFill="1" applyAlignment="1">
      <alignment wrapText="1"/>
    </xf>
    <xf numFmtId="0" fontId="40" fillId="24" borderId="10" xfId="0" applyFont="1" applyFill="1" applyBorder="1" applyAlignment="1">
      <alignment vertical="center" wrapText="1"/>
    </xf>
    <xf numFmtId="0" fontId="53" fillId="24" borderId="10" xfId="0" applyFont="1" applyFill="1" applyBorder="1" applyAlignment="1">
      <alignment horizontal="right" vertical="center" wrapText="1"/>
    </xf>
    <xf numFmtId="3" fontId="53" fillId="24" borderId="10" xfId="0" applyNumberFormat="1" applyFont="1" applyFill="1" applyBorder="1" applyAlignment="1">
      <alignment horizontal="right" wrapText="1"/>
    </xf>
    <xf numFmtId="0" fontId="40" fillId="24" borderId="19" xfId="0" applyFont="1" applyFill="1" applyBorder="1" applyAlignment="1">
      <alignment horizontal="left" vertical="center" wrapText="1"/>
    </xf>
    <xf numFmtId="0" fontId="40" fillId="24" borderId="19" xfId="0" applyFont="1" applyFill="1" applyBorder="1" applyAlignment="1">
      <alignment horizontal="center" vertical="center" wrapText="1"/>
    </xf>
    <xf numFmtId="0" fontId="40" fillId="24" borderId="25" xfId="0" applyFont="1" applyFill="1" applyBorder="1" applyAlignment="1">
      <alignment horizontal="center" vertical="center" wrapText="1"/>
    </xf>
    <xf numFmtId="0" fontId="40" fillId="24" borderId="1" xfId="0" applyFont="1" applyFill="1" applyBorder="1" applyAlignment="1">
      <alignment horizontal="center" vertical="center" wrapText="1"/>
    </xf>
    <xf numFmtId="0" fontId="40" fillId="8" borderId="0" xfId="0" applyFont="1" applyFill="1" applyAlignment="1">
      <alignment wrapText="1"/>
    </xf>
    <xf numFmtId="0" fontId="40" fillId="8" borderId="10" xfId="0" applyFont="1" applyFill="1" applyBorder="1" applyAlignment="1">
      <alignment vertical="center" wrapText="1"/>
    </xf>
    <xf numFmtId="0" fontId="40" fillId="8" borderId="10" xfId="0" applyFont="1" applyFill="1" applyBorder="1" applyAlignment="1">
      <alignment vertical="top" wrapText="1"/>
    </xf>
    <xf numFmtId="3" fontId="40" fillId="8" borderId="10" xfId="0" applyNumberFormat="1" applyFont="1" applyFill="1" applyBorder="1" applyAlignment="1">
      <alignment wrapText="1"/>
    </xf>
    <xf numFmtId="3" fontId="40" fillId="8" borderId="20" xfId="0" applyNumberFormat="1" applyFont="1" applyFill="1" applyBorder="1" applyAlignment="1">
      <alignment wrapText="1"/>
    </xf>
    <xf numFmtId="0" fontId="40" fillId="24" borderId="19" xfId="0" applyFont="1" applyFill="1" applyBorder="1" applyAlignment="1">
      <alignment vertical="center" wrapText="1"/>
    </xf>
    <xf numFmtId="0" fontId="40" fillId="24" borderId="10" xfId="0" applyFont="1" applyFill="1" applyBorder="1" applyAlignment="1">
      <alignment horizontal="left" vertical="center" wrapText="1"/>
    </xf>
    <xf numFmtId="3" fontId="53" fillId="24" borderId="10" xfId="0" applyNumberFormat="1" applyFont="1" applyFill="1" applyBorder="1" applyAlignment="1">
      <alignment wrapText="1"/>
    </xf>
    <xf numFmtId="0" fontId="40" fillId="24" borderId="46" xfId="0" applyFont="1" applyFill="1" applyBorder="1" applyAlignment="1">
      <alignment horizontal="center" vertical="center" wrapText="1"/>
    </xf>
    <xf numFmtId="0" fontId="40" fillId="24" borderId="36" xfId="0" applyFont="1" applyFill="1" applyBorder="1" applyAlignment="1">
      <alignment horizontal="center" vertical="center"/>
    </xf>
    <xf numFmtId="0" fontId="40" fillId="8" borderId="26" xfId="0" applyFont="1" applyFill="1" applyBorder="1" applyAlignment="1">
      <alignment vertical="center" wrapText="1"/>
    </xf>
    <xf numFmtId="3" fontId="40" fillId="8" borderId="19" xfId="0" applyNumberFormat="1" applyFont="1" applyFill="1" applyBorder="1" applyAlignment="1">
      <alignment wrapText="1"/>
    </xf>
    <xf numFmtId="0" fontId="38" fillId="0" borderId="2" xfId="0" applyFont="1" applyBorder="1" applyAlignment="1">
      <alignment horizontal="center" vertical="center" wrapText="1"/>
    </xf>
    <xf numFmtId="0" fontId="40" fillId="8" borderId="1" xfId="0" applyFont="1" applyFill="1" applyBorder="1" applyAlignment="1">
      <alignment vertical="center" wrapText="1"/>
    </xf>
    <xf numFmtId="3" fontId="40" fillId="8" borderId="1" xfId="0" applyNumberFormat="1" applyFont="1" applyFill="1" applyBorder="1" applyAlignment="1">
      <alignment wrapText="1"/>
    </xf>
    <xf numFmtId="3" fontId="40" fillId="8" borderId="21" xfId="0" applyNumberFormat="1" applyFont="1" applyFill="1" applyBorder="1" applyAlignment="1">
      <alignment wrapText="1"/>
    </xf>
    <xf numFmtId="0" fontId="40" fillId="8" borderId="20" xfId="0" applyFont="1" applyFill="1" applyBorder="1" applyAlignment="1">
      <alignment horizontal="center" vertical="center" wrapText="1"/>
    </xf>
    <xf numFmtId="0" fontId="40" fillId="8" borderId="46" xfId="0" applyFont="1" applyFill="1" applyBorder="1" applyAlignment="1">
      <alignment horizontal="left" vertical="center"/>
    </xf>
    <xf numFmtId="0" fontId="40" fillId="8" borderId="46" xfId="0" applyFont="1" applyFill="1" applyBorder="1" applyAlignment="1">
      <alignment vertical="center" wrapText="1"/>
    </xf>
    <xf numFmtId="3" fontId="40" fillId="8" borderId="22" xfId="0" applyNumberFormat="1" applyFont="1" applyFill="1" applyBorder="1" applyAlignment="1">
      <alignment wrapText="1"/>
    </xf>
    <xf numFmtId="0" fontId="40" fillId="8" borderId="25" xfId="0" applyFont="1" applyFill="1" applyBorder="1" applyAlignment="1">
      <alignment horizontal="center" vertical="center" wrapText="1"/>
    </xf>
    <xf numFmtId="0" fontId="38" fillId="8" borderId="2" xfId="0" applyFont="1" applyFill="1" applyBorder="1" applyAlignment="1">
      <alignment horizontal="center" vertical="center" wrapText="1"/>
    </xf>
    <xf numFmtId="3" fontId="39" fillId="22" borderId="10" xfId="0" applyNumberFormat="1" applyFont="1" applyFill="1" applyBorder="1"/>
    <xf numFmtId="3" fontId="39" fillId="23" borderId="19" xfId="0" applyNumberFormat="1" applyFont="1" applyFill="1" applyBorder="1"/>
    <xf numFmtId="3" fontId="39" fillId="23" borderId="10" xfId="0" applyNumberFormat="1" applyFont="1" applyFill="1" applyBorder="1"/>
    <xf numFmtId="3" fontId="38" fillId="0" borderId="21" xfId="0" applyNumberFormat="1" applyFont="1" applyBorder="1"/>
    <xf numFmtId="0" fontId="38" fillId="0" borderId="20" xfId="0" applyFont="1" applyBorder="1" applyAlignment="1">
      <alignment horizontal="center" vertical="center" wrapText="1"/>
    </xf>
    <xf numFmtId="0" fontId="38" fillId="8" borderId="10" xfId="0" applyFont="1" applyFill="1" applyBorder="1" applyAlignment="1">
      <alignment horizontal="center" vertical="center"/>
    </xf>
    <xf numFmtId="0" fontId="38" fillId="0" borderId="25" xfId="0" applyFont="1" applyBorder="1" applyAlignment="1">
      <alignment horizontal="center" vertical="center" wrapText="1"/>
    </xf>
    <xf numFmtId="0" fontId="38" fillId="0" borderId="20" xfId="0" applyFont="1" applyBorder="1" applyAlignment="1">
      <alignment vertical="center" wrapText="1"/>
    </xf>
    <xf numFmtId="0" fontId="40" fillId="8" borderId="1" xfId="0" applyFont="1" applyFill="1" applyBorder="1" applyAlignment="1">
      <alignment horizontal="center" vertical="center" wrapText="1"/>
    </xf>
    <xf numFmtId="0" fontId="40" fillId="8" borderId="28" xfId="0" applyFont="1" applyFill="1" applyBorder="1" applyAlignment="1">
      <alignment horizontal="center" vertical="center" wrapText="1"/>
    </xf>
    <xf numFmtId="0" fontId="40" fillId="0" borderId="3" xfId="0" applyFont="1" applyBorder="1" applyAlignment="1">
      <alignment horizontal="center" vertical="center" wrapText="1"/>
    </xf>
    <xf numFmtId="0" fontId="40" fillId="0" borderId="4" xfId="0" applyFont="1" applyBorder="1" applyAlignment="1">
      <alignment horizontal="center" vertical="center" wrapText="1"/>
    </xf>
    <xf numFmtId="0" fontId="40" fillId="8" borderId="30" xfId="0" applyFont="1" applyFill="1" applyBorder="1" applyAlignment="1">
      <alignment horizontal="center" vertical="center" wrapText="1"/>
    </xf>
    <xf numFmtId="0" fontId="99" fillId="4" borderId="10" xfId="0" applyFont="1" applyFill="1" applyBorder="1" applyAlignment="1">
      <alignment horizontal="center" vertical="center"/>
    </xf>
    <xf numFmtId="0" fontId="99" fillId="4" borderId="19" xfId="0" applyFont="1" applyFill="1" applyBorder="1" applyAlignment="1">
      <alignment horizontal="center" vertical="center"/>
    </xf>
    <xf numFmtId="0" fontId="99" fillId="4" borderId="10" xfId="0" applyFont="1" applyFill="1" applyBorder="1" applyAlignment="1">
      <alignment horizontal="center" vertical="center" wrapText="1"/>
    </xf>
    <xf numFmtId="0" fontId="99" fillId="4" borderId="19" xfId="0" applyFont="1" applyFill="1" applyBorder="1" applyAlignment="1">
      <alignment horizontal="center" vertical="center" wrapText="1"/>
    </xf>
    <xf numFmtId="0" fontId="58" fillId="12" borderId="25" xfId="0" applyFont="1" applyFill="1" applyBorder="1" applyAlignment="1">
      <alignment horizontal="left"/>
    </xf>
    <xf numFmtId="0" fontId="58" fillId="12" borderId="18" xfId="0" applyFont="1" applyFill="1" applyBorder="1" applyAlignment="1">
      <alignment horizontal="left"/>
    </xf>
    <xf numFmtId="0" fontId="58" fillId="12" borderId="26" xfId="0" applyFont="1" applyFill="1" applyBorder="1" applyAlignment="1">
      <alignment horizontal="left"/>
    </xf>
    <xf numFmtId="0" fontId="58" fillId="4" borderId="10" xfId="0" applyFont="1" applyFill="1" applyBorder="1" applyAlignment="1">
      <alignment horizontal="left" vertical="center" wrapText="1"/>
    </xf>
    <xf numFmtId="0" fontId="58" fillId="4" borderId="20" xfId="0" applyFont="1" applyFill="1" applyBorder="1" applyAlignment="1">
      <alignment horizontal="center" vertical="center" wrapText="1"/>
    </xf>
    <xf numFmtId="0" fontId="58" fillId="4" borderId="27" xfId="0" applyFont="1" applyFill="1" applyBorder="1" applyAlignment="1">
      <alignment horizontal="center" vertical="center" wrapText="1"/>
    </xf>
    <xf numFmtId="0" fontId="58" fillId="4" borderId="21" xfId="0" applyFont="1" applyFill="1" applyBorder="1" applyAlignment="1">
      <alignment horizontal="center" vertical="center" wrapText="1"/>
    </xf>
    <xf numFmtId="0" fontId="38" fillId="8" borderId="1" xfId="0" applyFont="1" applyFill="1" applyBorder="1" applyAlignment="1">
      <alignment horizontal="left" vertical="center"/>
    </xf>
    <xf numFmtId="0" fontId="38" fillId="8" borderId="46" xfId="0" applyFont="1" applyFill="1" applyBorder="1" applyAlignment="1">
      <alignment horizontal="left" vertical="center"/>
    </xf>
    <xf numFmtId="0" fontId="38" fillId="8" borderId="1" xfId="0" applyFont="1" applyFill="1" applyBorder="1" applyAlignment="1">
      <alignment horizontal="left" vertical="center" wrapText="1"/>
    </xf>
    <xf numFmtId="0" fontId="38" fillId="8" borderId="46" xfId="0" applyFont="1" applyFill="1" applyBorder="1" applyAlignment="1">
      <alignment horizontal="left" vertical="center" wrapText="1"/>
    </xf>
    <xf numFmtId="0" fontId="38" fillId="8" borderId="22" xfId="0" applyFont="1" applyFill="1" applyBorder="1" applyAlignment="1">
      <alignment horizontal="left" vertical="center" wrapText="1"/>
    </xf>
    <xf numFmtId="0" fontId="58" fillId="17" borderId="25" xfId="0" applyFont="1" applyFill="1" applyBorder="1" applyAlignment="1">
      <alignment horizontal="left" wrapText="1"/>
    </xf>
    <xf numFmtId="0" fontId="58" fillId="17" borderId="18" xfId="0" applyFont="1" applyFill="1" applyBorder="1" applyAlignment="1">
      <alignment horizontal="left" wrapText="1"/>
    </xf>
    <xf numFmtId="0" fontId="58" fillId="17" borderId="26" xfId="0" applyFont="1" applyFill="1" applyBorder="1" applyAlignment="1">
      <alignment horizontal="left" wrapText="1"/>
    </xf>
    <xf numFmtId="0" fontId="58" fillId="4" borderId="19" xfId="0" applyFont="1" applyFill="1" applyBorder="1" applyAlignment="1">
      <alignment horizontal="left" vertical="center" wrapText="1"/>
    </xf>
    <xf numFmtId="0" fontId="58" fillId="4" borderId="10" xfId="0" applyFont="1" applyFill="1" applyBorder="1" applyAlignment="1">
      <alignment horizontal="center" vertical="center" wrapText="1"/>
    </xf>
    <xf numFmtId="0" fontId="58" fillId="4" borderId="19" xfId="0" applyFont="1" applyFill="1" applyBorder="1" applyAlignment="1">
      <alignment horizontal="center" vertical="center" wrapText="1"/>
    </xf>
    <xf numFmtId="0" fontId="53" fillId="4" borderId="26" xfId="0" applyFont="1" applyFill="1" applyBorder="1" applyAlignment="1">
      <alignment horizontal="center" vertical="center" wrapText="1"/>
    </xf>
    <xf numFmtId="0" fontId="53" fillId="4" borderId="37" xfId="0" applyFont="1" applyFill="1" applyBorder="1" applyAlignment="1">
      <alignment horizontal="center" vertical="center" wrapText="1"/>
    </xf>
    <xf numFmtId="0" fontId="58" fillId="4" borderId="46" xfId="0" applyFont="1" applyFill="1" applyBorder="1" applyAlignment="1">
      <alignment horizontal="center" vertical="center" wrapText="1"/>
    </xf>
    <xf numFmtId="0" fontId="58" fillId="18" borderId="33" xfId="0" applyFont="1" applyFill="1" applyBorder="1" applyAlignment="1">
      <alignment horizontal="center" vertical="center" wrapText="1"/>
    </xf>
    <xf numFmtId="0" fontId="58" fillId="18" borderId="34" xfId="0" applyFont="1" applyFill="1" applyBorder="1" applyAlignment="1">
      <alignment horizontal="center" vertical="center" wrapText="1"/>
    </xf>
    <xf numFmtId="0" fontId="39" fillId="4" borderId="20" xfId="0" applyFont="1" applyFill="1" applyBorder="1" applyAlignment="1">
      <alignment horizontal="center" vertical="center" wrapText="1"/>
    </xf>
    <xf numFmtId="0" fontId="39" fillId="4" borderId="21" xfId="0" applyFont="1" applyFill="1" applyBorder="1" applyAlignment="1">
      <alignment horizontal="center" vertical="center" wrapText="1"/>
    </xf>
    <xf numFmtId="0" fontId="38" fillId="0" borderId="1" xfId="0" applyFont="1" applyBorder="1" applyAlignment="1">
      <alignment horizontal="center" vertical="center" wrapText="1"/>
    </xf>
    <xf numFmtId="0" fontId="38" fillId="0" borderId="22" xfId="0" applyFont="1" applyBorder="1" applyAlignment="1">
      <alignment horizontal="center" vertical="center" wrapText="1"/>
    </xf>
    <xf numFmtId="0" fontId="58" fillId="4" borderId="10" xfId="0" applyFont="1" applyFill="1" applyBorder="1" applyAlignment="1">
      <alignment horizontal="right" vertical="center" wrapText="1"/>
    </xf>
    <xf numFmtId="0" fontId="58" fillId="24" borderId="46" xfId="0" applyFont="1" applyFill="1" applyBorder="1" applyAlignment="1">
      <alignment horizontal="left" wrapText="1"/>
    </xf>
    <xf numFmtId="0" fontId="38" fillId="8" borderId="10" xfId="0" applyFont="1" applyFill="1" applyBorder="1" applyAlignment="1">
      <alignment horizontal="left" vertical="center"/>
    </xf>
    <xf numFmtId="0" fontId="38" fillId="8" borderId="19" xfId="0" applyFont="1" applyFill="1" applyBorder="1" applyAlignment="1">
      <alignment horizontal="left" vertical="center"/>
    </xf>
    <xf numFmtId="0" fontId="38" fillId="8" borderId="19" xfId="0" applyFont="1" applyFill="1" applyBorder="1" applyAlignment="1">
      <alignment horizontal="left" vertical="center" wrapText="1"/>
    </xf>
    <xf numFmtId="0" fontId="58" fillId="20" borderId="19" xfId="0" applyFont="1" applyFill="1" applyBorder="1" applyAlignment="1">
      <alignment horizontal="left" wrapText="1"/>
    </xf>
    <xf numFmtId="0" fontId="58" fillId="20" borderId="25" xfId="0" applyFont="1" applyFill="1" applyBorder="1" applyAlignment="1">
      <alignment horizontal="left" wrapText="1"/>
    </xf>
    <xf numFmtId="0" fontId="38" fillId="0" borderId="19" xfId="0" applyFont="1" applyBorder="1" applyAlignment="1">
      <alignment horizontal="left" vertical="center"/>
    </xf>
    <xf numFmtId="0" fontId="38" fillId="0" borderId="1" xfId="0" applyFont="1" applyBorder="1" applyAlignment="1">
      <alignment horizontal="left" vertical="center"/>
    </xf>
    <xf numFmtId="0" fontId="38" fillId="0" borderId="46" xfId="0" applyFont="1" applyBorder="1" applyAlignment="1">
      <alignment horizontal="left" vertical="center"/>
    </xf>
    <xf numFmtId="0" fontId="38" fillId="0" borderId="22" xfId="0" applyFont="1" applyBorder="1" applyAlignment="1">
      <alignment horizontal="left" vertical="center"/>
    </xf>
    <xf numFmtId="0" fontId="38" fillId="8" borderId="19" xfId="0" applyFont="1" applyFill="1" applyBorder="1" applyAlignment="1">
      <alignment horizontal="center" vertical="center"/>
    </xf>
    <xf numFmtId="0" fontId="38" fillId="8" borderId="22" xfId="0" applyFont="1" applyFill="1" applyBorder="1" applyAlignment="1">
      <alignment horizontal="center" vertical="center"/>
    </xf>
    <xf numFmtId="0" fontId="38" fillId="0" borderId="19" xfId="0" applyFont="1" applyBorder="1" applyAlignment="1">
      <alignment horizontal="center" vertical="center"/>
    </xf>
    <xf numFmtId="0" fontId="38" fillId="0" borderId="3" xfId="0" applyFont="1" applyBorder="1" applyAlignment="1">
      <alignment horizontal="center" vertical="center"/>
    </xf>
    <xf numFmtId="0" fontId="40" fillId="8" borderId="19" xfId="0" applyFont="1" applyFill="1" applyBorder="1" applyAlignment="1">
      <alignment horizontal="center" vertical="center" wrapText="1"/>
    </xf>
    <xf numFmtId="0" fontId="40" fillId="8" borderId="22" xfId="0" applyFont="1" applyFill="1" applyBorder="1" applyAlignment="1">
      <alignment horizontal="center" vertical="center" wrapText="1"/>
    </xf>
    <xf numFmtId="0" fontId="38" fillId="0" borderId="19" xfId="0" applyFont="1" applyBorder="1" applyAlignment="1">
      <alignment horizontal="left" vertical="center" wrapText="1"/>
    </xf>
    <xf numFmtId="0" fontId="38" fillId="0" borderId="3" xfId="0" applyFont="1" applyBorder="1" applyAlignment="1">
      <alignment horizontal="left" vertical="center" wrapText="1"/>
    </xf>
    <xf numFmtId="0" fontId="40" fillId="0" borderId="1" xfId="0" applyFont="1" applyBorder="1" applyAlignment="1">
      <alignment horizontal="center" vertical="center"/>
    </xf>
    <xf numFmtId="0" fontId="40" fillId="0" borderId="46" xfId="0" applyFont="1" applyBorder="1" applyAlignment="1">
      <alignment horizontal="center" vertical="center"/>
    </xf>
    <xf numFmtId="0" fontId="40" fillId="0" borderId="19" xfId="0" applyFont="1" applyBorder="1" applyAlignment="1">
      <alignment horizontal="center" vertical="center"/>
    </xf>
    <xf numFmtId="0" fontId="40" fillId="0" borderId="22" xfId="0" applyFont="1" applyBorder="1" applyAlignment="1">
      <alignment horizontal="center" vertical="center"/>
    </xf>
    <xf numFmtId="0" fontId="38" fillId="0" borderId="22" xfId="0" applyFont="1" applyBorder="1" applyAlignment="1">
      <alignment horizontal="left" vertical="center" wrapText="1"/>
    </xf>
    <xf numFmtId="0" fontId="38" fillId="0" borderId="46" xfId="0" applyFont="1" applyBorder="1" applyAlignment="1">
      <alignment horizontal="center" vertical="center"/>
    </xf>
    <xf numFmtId="0" fontId="38" fillId="0" borderId="1" xfId="0" applyFont="1" applyBorder="1" applyAlignment="1">
      <alignment horizontal="left" vertical="center" wrapText="1"/>
    </xf>
    <xf numFmtId="0" fontId="38" fillId="0" borderId="46" xfId="0" applyFont="1" applyBorder="1" applyAlignment="1">
      <alignment horizontal="left" vertical="center" wrapText="1"/>
    </xf>
    <xf numFmtId="0" fontId="38" fillId="8" borderId="22" xfId="0" applyFont="1" applyFill="1" applyBorder="1" applyAlignment="1">
      <alignment horizontal="left" vertical="center"/>
    </xf>
    <xf numFmtId="0" fontId="58" fillId="22" borderId="19" xfId="0" applyFont="1" applyFill="1" applyBorder="1" applyAlignment="1">
      <alignment horizontal="left" vertical="center" wrapText="1"/>
    </xf>
    <xf numFmtId="0" fontId="38" fillId="0" borderId="10" xfId="0" applyFont="1" applyBorder="1" applyAlignment="1">
      <alignment horizontal="left" vertical="center" wrapText="1"/>
    </xf>
    <xf numFmtId="0" fontId="38" fillId="0" borderId="28" xfId="0" applyFont="1" applyBorder="1" applyAlignment="1">
      <alignment horizontal="justify" vertical="center" wrapText="1"/>
    </xf>
    <xf numFmtId="0" fontId="38" fillId="0" borderId="20" xfId="0" applyFont="1" applyBorder="1" applyAlignment="1">
      <alignment horizontal="justify" vertical="center" wrapText="1"/>
    </xf>
    <xf numFmtId="0" fontId="38" fillId="8" borderId="28" xfId="0" applyFont="1" applyFill="1" applyBorder="1" applyAlignment="1">
      <alignment horizontal="left" vertical="center"/>
    </xf>
    <xf numFmtId="0" fontId="38" fillId="0" borderId="4" xfId="0" applyFont="1" applyBorder="1" applyAlignment="1">
      <alignment horizontal="left" vertical="center" wrapText="1"/>
    </xf>
    <xf numFmtId="0" fontId="58" fillId="24" borderId="22" xfId="0" applyFont="1" applyFill="1" applyBorder="1" applyAlignment="1">
      <alignment horizontal="left" wrapText="1"/>
    </xf>
    <xf numFmtId="0" fontId="58" fillId="24" borderId="10" xfId="0" applyFont="1" applyFill="1" applyBorder="1" applyAlignment="1">
      <alignment horizontal="left" wrapText="1"/>
    </xf>
    <xf numFmtId="0" fontId="29" fillId="8" borderId="19" xfId="0" applyFont="1" applyFill="1" applyBorder="1" applyAlignment="1">
      <alignment horizontal="left" vertical="center" wrapText="1"/>
    </xf>
    <xf numFmtId="0" fontId="29" fillId="8" borderId="46" xfId="0" applyFont="1" applyFill="1" applyBorder="1" applyAlignment="1">
      <alignment horizontal="left" vertical="center" wrapText="1"/>
    </xf>
    <xf numFmtId="0" fontId="29" fillId="8" borderId="22" xfId="0" applyFont="1" applyFill="1" applyBorder="1" applyAlignment="1">
      <alignment horizontal="left" vertical="center" wrapText="1"/>
    </xf>
    <xf numFmtId="0" fontId="40" fillId="0" borderId="19" xfId="0" applyFont="1" applyBorder="1" applyAlignment="1">
      <alignment horizontal="center" vertical="center" wrapText="1"/>
    </xf>
    <xf numFmtId="0" fontId="40" fillId="0" borderId="22" xfId="0" applyFont="1" applyBorder="1" applyAlignment="1">
      <alignment horizontal="center" vertical="center" wrapText="1"/>
    </xf>
    <xf numFmtId="0" fontId="38" fillId="0" borderId="19" xfId="0" applyFont="1" applyBorder="1" applyAlignment="1">
      <alignment horizontal="center" vertical="center" wrapText="1"/>
    </xf>
    <xf numFmtId="0" fontId="39" fillId="4" borderId="10" xfId="0" applyFont="1" applyFill="1" applyBorder="1" applyAlignment="1">
      <alignment horizontal="center" vertical="center"/>
    </xf>
    <xf numFmtId="0" fontId="58" fillId="18" borderId="28" xfId="0" applyFont="1" applyFill="1" applyBorder="1" applyAlignment="1">
      <alignment horizontal="left" vertical="center" wrapText="1"/>
    </xf>
    <xf numFmtId="0" fontId="58" fillId="18" borderId="34" xfId="0" applyFont="1" applyFill="1" applyBorder="1" applyAlignment="1">
      <alignment horizontal="left" vertical="center" wrapText="1"/>
    </xf>
    <xf numFmtId="0" fontId="38" fillId="8" borderId="11" xfId="0" applyFont="1" applyFill="1" applyBorder="1" applyAlignment="1">
      <alignment horizontal="left" vertical="center" wrapText="1"/>
    </xf>
    <xf numFmtId="0" fontId="38" fillId="8" borderId="4" xfId="0" applyFont="1" applyFill="1" applyBorder="1" applyAlignment="1">
      <alignment horizontal="left" vertical="center" wrapText="1"/>
    </xf>
    <xf numFmtId="0" fontId="38" fillId="8" borderId="3" xfId="0" applyFont="1" applyFill="1" applyBorder="1" applyAlignment="1">
      <alignment horizontal="left" vertical="center"/>
    </xf>
    <xf numFmtId="0" fontId="38" fillId="8" borderId="4" xfId="0" applyFont="1" applyFill="1" applyBorder="1" applyAlignment="1">
      <alignment horizontal="left" vertical="center"/>
    </xf>
    <xf numFmtId="0" fontId="58" fillId="19" borderId="36" xfId="0" applyFont="1" applyFill="1" applyBorder="1" applyAlignment="1">
      <alignment horizontal="left" vertical="center" wrapText="1"/>
    </xf>
    <xf numFmtId="0" fontId="58" fillId="19" borderId="41" xfId="0" applyFont="1" applyFill="1" applyBorder="1" applyAlignment="1">
      <alignment horizontal="left" vertical="center" wrapText="1"/>
    </xf>
    <xf numFmtId="0" fontId="40" fillId="0" borderId="31" xfId="0" applyFont="1" applyBorder="1" applyAlignment="1">
      <alignment horizontal="left" vertical="center"/>
    </xf>
    <xf numFmtId="0" fontId="40" fillId="0" borderId="36" xfId="0" applyFont="1" applyBorder="1" applyAlignment="1">
      <alignment horizontal="left" vertical="center"/>
    </xf>
    <xf numFmtId="0" fontId="40" fillId="0" borderId="3" xfId="0" applyFont="1" applyBorder="1" applyAlignment="1">
      <alignment horizontal="left" vertical="center" wrapText="1"/>
    </xf>
    <xf numFmtId="0" fontId="40" fillId="0" borderId="4" xfId="0" applyFont="1" applyBorder="1" applyAlignment="1">
      <alignment horizontal="left" vertical="center" wrapText="1"/>
    </xf>
    <xf numFmtId="0" fontId="40" fillId="8" borderId="1" xfId="0" applyFont="1" applyFill="1" applyBorder="1" applyAlignment="1">
      <alignment horizontal="center" vertical="center"/>
    </xf>
    <xf numFmtId="0" fontId="40" fillId="8" borderId="22" xfId="0" applyFont="1" applyFill="1" applyBorder="1" applyAlignment="1">
      <alignment horizontal="center" vertical="center"/>
    </xf>
    <xf numFmtId="0" fontId="58" fillId="23" borderId="19" xfId="0" applyFont="1" applyFill="1" applyBorder="1" applyAlignment="1">
      <alignment horizontal="left" wrapText="1"/>
    </xf>
    <xf numFmtId="3" fontId="38" fillId="0" borderId="19" xfId="0" applyNumberFormat="1" applyFont="1" applyBorder="1" applyAlignment="1">
      <alignment horizontal="right" vertical="center"/>
    </xf>
    <xf numFmtId="3" fontId="38" fillId="0" borderId="46" xfId="0" applyNumberFormat="1" applyFont="1" applyBorder="1" applyAlignment="1">
      <alignment horizontal="right" vertical="center"/>
    </xf>
    <xf numFmtId="3" fontId="38" fillId="0" borderId="22" xfId="0" applyNumberFormat="1" applyFont="1" applyBorder="1" applyAlignment="1">
      <alignment horizontal="right" vertical="center"/>
    </xf>
    <xf numFmtId="0" fontId="38" fillId="8" borderId="25" xfId="0" applyFont="1" applyFill="1" applyBorder="1" applyAlignment="1">
      <alignment horizontal="left" vertical="center"/>
    </xf>
    <xf numFmtId="0" fontId="29" fillId="8" borderId="1" xfId="0" applyFont="1" applyFill="1" applyBorder="1" applyAlignment="1">
      <alignment horizontal="left" vertical="center" wrapText="1"/>
    </xf>
    <xf numFmtId="3" fontId="38" fillId="0" borderId="11" xfId="0" applyNumberFormat="1" applyFont="1" applyBorder="1" applyAlignment="1">
      <alignment horizontal="right" vertical="center"/>
    </xf>
    <xf numFmtId="0" fontId="40" fillId="8" borderId="19" xfId="0" applyFont="1" applyFill="1" applyBorder="1" applyAlignment="1">
      <alignment horizontal="left" vertical="center"/>
    </xf>
    <xf numFmtId="0" fontId="40" fillId="8" borderId="1" xfId="0" applyFont="1" applyFill="1" applyBorder="1" applyAlignment="1">
      <alignment horizontal="left" vertical="center"/>
    </xf>
    <xf numFmtId="0" fontId="40" fillId="8" borderId="25" xfId="0" applyFont="1" applyFill="1" applyBorder="1" applyAlignment="1">
      <alignment horizontal="left" vertical="center" wrapText="1"/>
    </xf>
    <xf numFmtId="0" fontId="40" fillId="8" borderId="1" xfId="0" applyFont="1" applyFill="1" applyBorder="1" applyAlignment="1">
      <alignment horizontal="left" vertical="center" wrapText="1"/>
    </xf>
    <xf numFmtId="0" fontId="40" fillId="8" borderId="3" xfId="0" applyFont="1" applyFill="1" applyBorder="1" applyAlignment="1">
      <alignment horizontal="left" vertical="center" wrapText="1"/>
    </xf>
    <xf numFmtId="0" fontId="38" fillId="8" borderId="36" xfId="0" applyFont="1" applyFill="1" applyBorder="1" applyAlignment="1">
      <alignment horizontal="left" vertical="center"/>
    </xf>
    <xf numFmtId="0" fontId="38" fillId="0" borderId="1" xfId="0" applyFont="1" applyBorder="1" applyAlignment="1">
      <alignment horizontal="center" vertical="center"/>
    </xf>
    <xf numFmtId="0" fontId="38" fillId="0" borderId="22" xfId="0" applyFont="1" applyBorder="1" applyAlignment="1">
      <alignment horizontal="center" vertical="center"/>
    </xf>
    <xf numFmtId="0" fontId="40" fillId="8" borderId="19" xfId="0" applyFont="1" applyFill="1" applyBorder="1" applyAlignment="1">
      <alignment horizontal="center" vertical="center"/>
    </xf>
    <xf numFmtId="0" fontId="38" fillId="0" borderId="46" xfId="0" applyFont="1" applyBorder="1" applyAlignment="1">
      <alignment horizontal="center" vertical="center" wrapText="1"/>
    </xf>
    <xf numFmtId="0" fontId="40" fillId="0" borderId="46" xfId="0" applyFont="1" applyBorder="1" applyAlignment="1">
      <alignment horizontal="center" vertical="center" wrapText="1"/>
    </xf>
    <xf numFmtId="0" fontId="40" fillId="0" borderId="26" xfId="0" applyFont="1" applyBorder="1" applyAlignment="1">
      <alignment horizontal="center" vertical="center" wrapText="1"/>
    </xf>
    <xf numFmtId="0" fontId="40" fillId="0" borderId="3" xfId="0" applyFont="1" applyBorder="1" applyAlignment="1">
      <alignment horizontal="center" vertical="center"/>
    </xf>
    <xf numFmtId="0" fontId="58" fillId="19" borderId="50" xfId="0" applyFont="1" applyFill="1" applyBorder="1" applyAlignment="1">
      <alignment horizontal="left" vertical="center" wrapText="1"/>
    </xf>
    <xf numFmtId="0" fontId="58" fillId="19" borderId="0" xfId="0" applyFont="1" applyFill="1" applyAlignment="1">
      <alignment horizontal="left" vertical="center" wrapText="1"/>
    </xf>
    <xf numFmtId="0" fontId="40" fillId="0" borderId="37" xfId="0" applyFont="1" applyBorder="1" applyAlignment="1">
      <alignment horizontal="center" vertical="center"/>
    </xf>
    <xf numFmtId="0" fontId="86" fillId="8" borderId="40" xfId="0" applyFont="1" applyFill="1" applyBorder="1" applyAlignment="1">
      <alignment horizontal="center" vertical="center" wrapText="1"/>
    </xf>
    <xf numFmtId="0" fontId="34" fillId="8" borderId="39" xfId="0" applyFont="1" applyFill="1" applyBorder="1" applyAlignment="1">
      <alignment horizontal="left" vertical="center" wrapText="1"/>
    </xf>
    <xf numFmtId="0" fontId="26" fillId="0" borderId="40" xfId="0" applyFont="1" applyBorder="1" applyAlignment="1">
      <alignment horizontal="center" vertical="center" wrapText="1"/>
    </xf>
    <xf numFmtId="0" fontId="62" fillId="4" borderId="3" xfId="0" applyFont="1" applyFill="1" applyBorder="1" applyAlignment="1">
      <alignment horizontal="center" vertical="center"/>
    </xf>
    <xf numFmtId="0" fontId="62" fillId="4" borderId="4" xfId="0" applyFont="1" applyFill="1" applyBorder="1" applyAlignment="1">
      <alignment horizontal="center" vertical="center"/>
    </xf>
    <xf numFmtId="0" fontId="62" fillId="4" borderId="31" xfId="0" applyFont="1" applyFill="1" applyBorder="1" applyAlignment="1">
      <alignment horizontal="center" vertical="center" wrapText="1"/>
    </xf>
    <xf numFmtId="0" fontId="62" fillId="4" borderId="2" xfId="0" applyFont="1" applyFill="1" applyBorder="1" applyAlignment="1">
      <alignment horizontal="center" vertical="center" wrapText="1"/>
    </xf>
    <xf numFmtId="0" fontId="34" fillId="8" borderId="0" xfId="0" applyFont="1" applyFill="1" applyAlignment="1">
      <alignment horizontal="left"/>
    </xf>
    <xf numFmtId="0" fontId="34" fillId="8" borderId="0" xfId="0" applyFont="1" applyFill="1" applyAlignment="1">
      <alignment horizontal="center"/>
    </xf>
    <xf numFmtId="4" fontId="37" fillId="8" borderId="3" xfId="0" applyNumberFormat="1" applyFont="1" applyFill="1" applyBorder="1" applyAlignment="1">
      <alignment horizontal="right" vertical="center"/>
    </xf>
    <xf numFmtId="4" fontId="37" fillId="8" borderId="11" xfId="0" applyNumberFormat="1" applyFont="1" applyFill="1" applyBorder="1" applyAlignment="1">
      <alignment horizontal="right" vertical="center"/>
    </xf>
    <xf numFmtId="4" fontId="37" fillId="8" borderId="4" xfId="0" applyNumberFormat="1" applyFont="1" applyFill="1" applyBorder="1" applyAlignment="1">
      <alignment horizontal="right" vertical="center"/>
    </xf>
    <xf numFmtId="0" fontId="44" fillId="0" borderId="4" xfId="0" applyFont="1" applyBorder="1" applyAlignment="1">
      <alignment horizontal="right"/>
    </xf>
    <xf numFmtId="0" fontId="35" fillId="0" borderId="0" xfId="0" applyFont="1" applyAlignment="1">
      <alignment horizontal="center"/>
    </xf>
    <xf numFmtId="0" fontId="35" fillId="4" borderId="1" xfId="3" applyFont="1" applyFill="1" applyBorder="1" applyAlignment="1">
      <alignment horizontal="center" vertical="center" wrapText="1"/>
    </xf>
    <xf numFmtId="0" fontId="31" fillId="0" borderId="1" xfId="3" applyFont="1" applyBorder="1" applyAlignment="1">
      <alignment horizontal="left" vertical="center" wrapText="1"/>
    </xf>
    <xf numFmtId="0" fontId="42" fillId="8" borderId="1" xfId="9" applyFont="1" applyFill="1" applyBorder="1" applyAlignment="1">
      <alignment horizontal="left" vertical="center" wrapText="1"/>
    </xf>
    <xf numFmtId="0" fontId="35" fillId="8" borderId="40" xfId="0" applyFont="1" applyFill="1" applyBorder="1" applyAlignment="1">
      <alignment horizontal="center"/>
    </xf>
    <xf numFmtId="4" fontId="59" fillId="4" borderId="31" xfId="0" applyNumberFormat="1" applyFont="1" applyFill="1" applyBorder="1" applyAlignment="1">
      <alignment horizontal="right" vertical="center" wrapText="1"/>
    </xf>
    <xf numFmtId="4" fontId="59" fillId="4" borderId="2" xfId="0" applyNumberFormat="1" applyFont="1" applyFill="1" applyBorder="1" applyAlignment="1">
      <alignment horizontal="right" vertical="center" wrapText="1"/>
    </xf>
    <xf numFmtId="0" fontId="35" fillId="0" borderId="31" xfId="0" applyFont="1" applyBorder="1" applyAlignment="1">
      <alignment horizontal="center"/>
    </xf>
    <xf numFmtId="0" fontId="35" fillId="0" borderId="7" xfId="0" applyFont="1" applyBorder="1" applyAlignment="1">
      <alignment horizontal="center"/>
    </xf>
    <xf numFmtId="0" fontId="35" fillId="0" borderId="2" xfId="0" applyFont="1" applyBorder="1" applyAlignment="1">
      <alignment horizontal="center"/>
    </xf>
    <xf numFmtId="0" fontId="28" fillId="0" borderId="0" xfId="0" applyFont="1" applyAlignment="1">
      <alignment horizontal="center"/>
    </xf>
    <xf numFmtId="0" fontId="31" fillId="0" borderId="12" xfId="0" applyFont="1" applyBorder="1" applyAlignment="1">
      <alignment horizontal="center" vertical="center"/>
    </xf>
    <xf numFmtId="0" fontId="31" fillId="0" borderId="41" xfId="0" applyFont="1" applyBorder="1" applyAlignment="1">
      <alignment horizontal="center" vertical="center"/>
    </xf>
    <xf numFmtId="0" fontId="35" fillId="0" borderId="31" xfId="0" applyFont="1" applyBorder="1" applyAlignment="1">
      <alignment horizontal="right"/>
    </xf>
    <xf numFmtId="0" fontId="35" fillId="0" borderId="7" xfId="0" applyFont="1" applyBorder="1" applyAlignment="1">
      <alignment horizontal="right"/>
    </xf>
    <xf numFmtId="0" fontId="35" fillId="0" borderId="2" xfId="0" applyFont="1" applyBorder="1" applyAlignment="1">
      <alignment horizontal="right"/>
    </xf>
    <xf numFmtId="0" fontId="44" fillId="0" borderId="31" xfId="0" applyFont="1" applyBorder="1" applyAlignment="1">
      <alignment horizontal="right"/>
    </xf>
    <xf numFmtId="0" fontId="44" fillId="0" borderId="7" xfId="0" applyFont="1" applyBorder="1" applyAlignment="1">
      <alignment horizontal="right"/>
    </xf>
    <xf numFmtId="0" fontId="44" fillId="0" borderId="2" xfId="0" applyFont="1" applyBorder="1" applyAlignment="1">
      <alignment horizontal="right"/>
    </xf>
    <xf numFmtId="0" fontId="44" fillId="0" borderId="31" xfId="0" applyFont="1" applyBorder="1" applyAlignment="1">
      <alignment horizontal="center"/>
    </xf>
    <xf numFmtId="0" fontId="44" fillId="0" borderId="7" xfId="0" applyFont="1" applyBorder="1" applyAlignment="1">
      <alignment horizontal="center"/>
    </xf>
    <xf numFmtId="0" fontId="44" fillId="0" borderId="2" xfId="0" applyFont="1" applyBorder="1" applyAlignment="1">
      <alignment horizontal="center"/>
    </xf>
    <xf numFmtId="0" fontId="35" fillId="0" borderId="40" xfId="0" applyFont="1" applyBorder="1" applyAlignment="1">
      <alignment horizontal="center"/>
    </xf>
    <xf numFmtId="0" fontId="31" fillId="0" borderId="13" xfId="0" applyFont="1" applyBorder="1" applyAlignment="1">
      <alignment horizontal="center" vertical="center"/>
    </xf>
    <xf numFmtId="0" fontId="35" fillId="0" borderId="32" xfId="0" applyFont="1" applyBorder="1" applyAlignment="1">
      <alignment horizontal="right"/>
    </xf>
    <xf numFmtId="0" fontId="35" fillId="0" borderId="39" xfId="0" applyFont="1" applyBorder="1" applyAlignment="1">
      <alignment horizontal="right"/>
    </xf>
    <xf numFmtId="0" fontId="35" fillId="0" borderId="31" xfId="0" applyFont="1" applyBorder="1" applyAlignment="1">
      <alignment horizontal="right" vertical="center" wrapText="1"/>
    </xf>
    <xf numFmtId="0" fontId="35" fillId="0" borderId="7" xfId="0" applyFont="1" applyBorder="1" applyAlignment="1">
      <alignment horizontal="right" vertical="center" wrapText="1"/>
    </xf>
    <xf numFmtId="0" fontId="35" fillId="0" borderId="2" xfId="0" applyFont="1" applyBorder="1" applyAlignment="1">
      <alignment horizontal="right" vertical="center" wrapText="1"/>
    </xf>
    <xf numFmtId="0" fontId="32" fillId="0" borderId="19" xfId="0" applyFont="1" applyBorder="1" applyAlignment="1">
      <alignment horizontal="center" vertical="center"/>
    </xf>
    <xf numFmtId="0" fontId="32" fillId="0" borderId="46" xfId="0" applyFont="1" applyBorder="1" applyAlignment="1">
      <alignment horizontal="center" vertical="center"/>
    </xf>
    <xf numFmtId="0" fontId="32" fillId="0" borderId="49" xfId="0" applyFont="1" applyBorder="1" applyAlignment="1">
      <alignment horizontal="center" vertical="center"/>
    </xf>
    <xf numFmtId="0" fontId="32" fillId="0" borderId="67" xfId="0" applyFont="1" applyBorder="1" applyAlignment="1">
      <alignment horizontal="center" vertical="center"/>
    </xf>
    <xf numFmtId="0" fontId="62" fillId="0" borderId="39" xfId="0" applyFont="1" applyBorder="1" applyAlignment="1">
      <alignment horizontal="left" vertical="center" wrapText="1"/>
    </xf>
    <xf numFmtId="0" fontId="59" fillId="0" borderId="40" xfId="0" applyFont="1" applyBorder="1" applyAlignment="1">
      <alignment horizontal="center" vertical="center" wrapText="1"/>
    </xf>
    <xf numFmtId="0" fontId="31" fillId="0" borderId="0" xfId="0" applyFont="1" applyAlignment="1">
      <alignment horizontal="left"/>
    </xf>
    <xf numFmtId="0" fontId="31" fillId="0" borderId="0" xfId="0" applyFont="1" applyAlignment="1">
      <alignment horizontal="center"/>
    </xf>
    <xf numFmtId="0" fontId="42" fillId="0" borderId="1" xfId="0" applyFont="1" applyBorder="1" applyAlignment="1">
      <alignment horizontal="center" vertical="center" wrapText="1"/>
    </xf>
    <xf numFmtId="0" fontId="84" fillId="0" borderId="1" xfId="0" applyFont="1" applyBorder="1" applyAlignment="1">
      <alignment vertical="center" wrapText="1"/>
    </xf>
    <xf numFmtId="0" fontId="32" fillId="0" borderId="1" xfId="0" applyFont="1" applyBorder="1" applyAlignment="1">
      <alignment horizontal="center"/>
    </xf>
    <xf numFmtId="0" fontId="37" fillId="0" borderId="1" xfId="0" applyFont="1" applyBorder="1" applyAlignment="1">
      <alignment horizontal="center" vertical="center"/>
    </xf>
    <xf numFmtId="0" fontId="62" fillId="4" borderId="1" xfId="0" applyFont="1" applyFill="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4" borderId="14" xfId="0" applyFont="1" applyFill="1" applyBorder="1" applyAlignment="1">
      <alignment wrapText="1"/>
    </xf>
    <xf numFmtId="0" fontId="3" fillId="4" borderId="15" xfId="0" applyFont="1" applyFill="1" applyBorder="1" applyAlignment="1">
      <alignment wrapText="1"/>
    </xf>
    <xf numFmtId="0" fontId="3" fillId="4" borderId="8" xfId="0" applyFont="1" applyFill="1" applyBorder="1" applyAlignment="1">
      <alignment wrapText="1"/>
    </xf>
    <xf numFmtId="0" fontId="3" fillId="4" borderId="17" xfId="0" applyFont="1" applyFill="1" applyBorder="1" applyAlignment="1">
      <alignment horizontal="center" wrapText="1"/>
    </xf>
    <xf numFmtId="0" fontId="3" fillId="4" borderId="16" xfId="0" applyFont="1" applyFill="1" applyBorder="1" applyAlignment="1">
      <alignment horizontal="center" wrapText="1"/>
    </xf>
    <xf numFmtId="0" fontId="3" fillId="4" borderId="17" xfId="0" applyFont="1" applyFill="1" applyBorder="1" applyAlignment="1">
      <alignment wrapText="1"/>
    </xf>
    <xf numFmtId="0" fontId="3" fillId="4" borderId="16" xfId="0" applyFont="1" applyFill="1" applyBorder="1" applyAlignment="1">
      <alignment wrapText="1"/>
    </xf>
    <xf numFmtId="0" fontId="3" fillId="4" borderId="3"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31"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42" fillId="0" borderId="3" xfId="0" applyFont="1" applyBorder="1" applyAlignment="1">
      <alignment horizontal="center" vertical="center" wrapText="1"/>
    </xf>
    <xf numFmtId="0" fontId="42" fillId="0" borderId="4" xfId="0" applyFont="1" applyBorder="1" applyAlignment="1">
      <alignment horizontal="center" vertical="center" wrapText="1"/>
    </xf>
    <xf numFmtId="0" fontId="84" fillId="0" borderId="3" xfId="0" applyFont="1" applyBorder="1" applyAlignment="1">
      <alignment horizontal="center" vertical="center" wrapText="1"/>
    </xf>
    <xf numFmtId="0" fontId="84" fillId="0" borderId="4" xfId="0" applyFont="1" applyBorder="1" applyAlignment="1">
      <alignment horizontal="center" vertical="center" wrapText="1"/>
    </xf>
    <xf numFmtId="0" fontId="3" fillId="4" borderId="17"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3" borderId="35" xfId="3" applyFont="1" applyFill="1" applyBorder="1" applyAlignment="1">
      <alignment horizontal="center" vertical="center" wrapText="1"/>
    </xf>
    <xf numFmtId="0" fontId="3" fillId="3" borderId="35" xfId="3" applyFont="1" applyFill="1" applyBorder="1" applyAlignment="1">
      <alignment horizontal="center" vertical="center"/>
    </xf>
    <xf numFmtId="0" fontId="3" fillId="11" borderId="35" xfId="3" applyFont="1" applyFill="1" applyBorder="1" applyAlignment="1">
      <alignment horizontal="center" vertical="center" wrapText="1"/>
    </xf>
    <xf numFmtId="0" fontId="3" fillId="11" borderId="38" xfId="3" applyFont="1" applyFill="1" applyBorder="1" applyAlignment="1">
      <alignment horizontal="center" vertical="center" wrapText="1"/>
    </xf>
    <xf numFmtId="0" fontId="3" fillId="11" borderId="17" xfId="3" applyFont="1" applyFill="1" applyBorder="1" applyAlignment="1">
      <alignment horizontal="center" vertical="center" wrapText="1"/>
    </xf>
    <xf numFmtId="0" fontId="3" fillId="11" borderId="16" xfId="3" applyFont="1" applyFill="1" applyBorder="1" applyAlignment="1">
      <alignment horizontal="center" vertical="center" wrapText="1"/>
    </xf>
    <xf numFmtId="0" fontId="15" fillId="0" borderId="31" xfId="2" applyFont="1" applyBorder="1" applyAlignment="1">
      <alignment horizontal="center" vertical="center" wrapText="1"/>
    </xf>
    <xf numFmtId="0" fontId="15" fillId="0" borderId="2" xfId="2" applyFont="1" applyBorder="1" applyAlignment="1">
      <alignment horizontal="center" vertical="center" wrapText="1"/>
    </xf>
    <xf numFmtId="0" fontId="15" fillId="4" borderId="1" xfId="2" applyFont="1" applyFill="1" applyBorder="1" applyAlignment="1">
      <alignment horizontal="center" vertical="center"/>
    </xf>
    <xf numFmtId="0" fontId="3" fillId="11" borderId="1" xfId="2" applyFont="1" applyFill="1" applyBorder="1" applyAlignment="1">
      <alignment horizontal="center" vertical="center" wrapText="1"/>
    </xf>
    <xf numFmtId="0" fontId="3" fillId="11" borderId="32" xfId="2" applyFont="1" applyFill="1" applyBorder="1" applyAlignment="1">
      <alignment horizontal="center" vertical="center" wrapText="1"/>
    </xf>
    <xf numFmtId="0" fontId="3" fillId="11" borderId="12" xfId="2" applyFont="1" applyFill="1" applyBorder="1" applyAlignment="1">
      <alignment horizontal="center" vertical="center" wrapText="1"/>
    </xf>
    <xf numFmtId="0" fontId="3" fillId="11" borderId="47" xfId="2" applyFont="1" applyFill="1" applyBorder="1" applyAlignment="1">
      <alignment horizontal="center" vertical="center" wrapText="1"/>
    </xf>
    <xf numFmtId="0" fontId="3" fillId="11" borderId="13" xfId="2" applyFont="1" applyFill="1" applyBorder="1" applyAlignment="1">
      <alignment horizontal="center" vertical="center" wrapText="1"/>
    </xf>
    <xf numFmtId="0" fontId="38" fillId="4" borderId="14" xfId="0" applyFont="1" applyFill="1" applyBorder="1" applyAlignment="1">
      <alignment wrapText="1"/>
    </xf>
    <xf numFmtId="0" fontId="38" fillId="4" borderId="15" xfId="0" applyFont="1" applyFill="1" applyBorder="1" applyAlignment="1">
      <alignment wrapText="1"/>
    </xf>
    <xf numFmtId="0" fontId="38" fillId="8" borderId="20" xfId="0" applyFont="1" applyFill="1" applyBorder="1" applyAlignment="1">
      <alignment horizontal="center" vertical="center"/>
    </xf>
    <xf numFmtId="2" fontId="38" fillId="0" borderId="19" xfId="0" applyNumberFormat="1" applyFont="1" applyBorder="1" applyAlignment="1">
      <alignment horizontal="center" vertical="center"/>
    </xf>
    <xf numFmtId="0" fontId="38" fillId="4" borderId="3" xfId="0" applyFont="1" applyFill="1" applyBorder="1" applyAlignment="1">
      <alignment horizontal="center" wrapText="1"/>
    </xf>
    <xf numFmtId="0" fontId="38" fillId="4" borderId="11" xfId="0" applyFont="1" applyFill="1" applyBorder="1" applyAlignment="1">
      <alignment horizontal="center" wrapText="1"/>
    </xf>
    <xf numFmtId="0" fontId="38" fillId="4" borderId="4" xfId="0" applyFont="1" applyFill="1" applyBorder="1" applyAlignment="1">
      <alignment horizontal="center" wrapText="1"/>
    </xf>
    <xf numFmtId="0" fontId="38" fillId="4" borderId="19" xfId="0" applyFont="1" applyFill="1" applyBorder="1" applyAlignment="1">
      <alignment horizontal="center"/>
    </xf>
    <xf numFmtId="0" fontId="38" fillId="4" borderId="46" xfId="0" applyFont="1" applyFill="1" applyBorder="1" applyAlignment="1">
      <alignment horizontal="center"/>
    </xf>
    <xf numFmtId="0" fontId="38" fillId="4" borderId="22" xfId="0" applyFont="1" applyFill="1" applyBorder="1" applyAlignment="1">
      <alignment horizontal="center"/>
    </xf>
    <xf numFmtId="0" fontId="38" fillId="4" borderId="17" xfId="0" applyFont="1" applyFill="1" applyBorder="1" applyAlignment="1">
      <alignment horizontal="center" vertical="center" wrapText="1"/>
    </xf>
    <xf numFmtId="0" fontId="38" fillId="4" borderId="16" xfId="0" applyFont="1" applyFill="1" applyBorder="1" applyAlignment="1">
      <alignment horizontal="center" vertical="center" wrapText="1"/>
    </xf>
    <xf numFmtId="0" fontId="38" fillId="4" borderId="14" xfId="0" applyFont="1" applyFill="1" applyBorder="1" applyAlignment="1">
      <alignment horizontal="center" vertical="center" wrapText="1"/>
    </xf>
    <xf numFmtId="0" fontId="38" fillId="4" borderId="15" xfId="0" applyFont="1" applyFill="1" applyBorder="1" applyAlignment="1">
      <alignment horizontal="center" vertical="center" wrapText="1"/>
    </xf>
    <xf numFmtId="0" fontId="38" fillId="4" borderId="52" xfId="0" applyFont="1" applyFill="1" applyBorder="1" applyAlignment="1">
      <alignment horizontal="center" vertical="center" wrapText="1"/>
    </xf>
    <xf numFmtId="0" fontId="38" fillId="4" borderId="23" xfId="0" applyFont="1" applyFill="1" applyBorder="1" applyAlignment="1">
      <alignment horizontal="center" vertical="center" wrapText="1"/>
    </xf>
    <xf numFmtId="0" fontId="38" fillId="4" borderId="1" xfId="0" applyFont="1" applyFill="1" applyBorder="1" applyAlignment="1">
      <alignment horizontal="center"/>
    </xf>
    <xf numFmtId="0" fontId="38" fillId="4" borderId="3" xfId="0" applyFont="1" applyFill="1" applyBorder="1" applyAlignment="1">
      <alignment horizontal="center"/>
    </xf>
    <xf numFmtId="0" fontId="38" fillId="4" borderId="1" xfId="0" applyFont="1" applyFill="1" applyBorder="1" applyAlignment="1">
      <alignment horizontal="center" wrapText="1"/>
    </xf>
    <xf numFmtId="2" fontId="38" fillId="0" borderId="10" xfId="0" applyNumberFormat="1" applyFont="1" applyBorder="1" applyAlignment="1">
      <alignment horizontal="center" vertical="center"/>
    </xf>
    <xf numFmtId="0" fontId="38" fillId="0" borderId="10" xfId="0" applyFont="1" applyBorder="1" applyAlignment="1">
      <alignment horizontal="center" vertical="center"/>
    </xf>
    <xf numFmtId="0" fontId="46" fillId="0" borderId="0" xfId="0" applyFont="1"/>
    <xf numFmtId="0" fontId="38" fillId="0" borderId="0" xfId="0" applyFont="1"/>
    <xf numFmtId="0" fontId="38" fillId="4" borderId="8" xfId="0" applyFont="1" applyFill="1" applyBorder="1" applyAlignment="1">
      <alignment wrapText="1"/>
    </xf>
    <xf numFmtId="0" fontId="38" fillId="4" borderId="8" xfId="0" applyFont="1" applyFill="1" applyBorder="1" applyAlignment="1">
      <alignment horizontal="center" vertical="center" wrapText="1"/>
    </xf>
    <xf numFmtId="0" fontId="38" fillId="0" borderId="36" xfId="0" applyFont="1" applyBorder="1"/>
    <xf numFmtId="165" fontId="39" fillId="0" borderId="22" xfId="0" applyNumberFormat="1" applyFont="1" applyBorder="1" applyAlignment="1">
      <alignment horizontal="center" vertical="center"/>
    </xf>
    <xf numFmtId="165" fontId="39" fillId="0" borderId="10" xfId="0" applyNumberFormat="1" applyFont="1" applyBorder="1" applyAlignment="1">
      <alignment horizontal="center" vertical="center"/>
    </xf>
    <xf numFmtId="2" fontId="38" fillId="0" borderId="22" xfId="0" applyNumberFormat="1" applyFont="1" applyBorder="1" applyAlignment="1">
      <alignment horizontal="center" vertical="center"/>
    </xf>
    <xf numFmtId="0" fontId="38" fillId="8" borderId="28" xfId="0" applyFont="1" applyFill="1" applyBorder="1" applyAlignment="1">
      <alignment horizontal="center" vertical="center"/>
    </xf>
    <xf numFmtId="0" fontId="38" fillId="0" borderId="28" xfId="0" applyFont="1" applyBorder="1" applyAlignment="1">
      <alignment horizontal="center" vertical="center"/>
    </xf>
    <xf numFmtId="0" fontId="38" fillId="0" borderId="20" xfId="0" applyFont="1" applyBorder="1" applyAlignment="1">
      <alignment horizontal="center" vertical="center"/>
    </xf>
    <xf numFmtId="0" fontId="38" fillId="0" borderId="56" xfId="0" applyFont="1" applyBorder="1" applyAlignment="1">
      <alignment horizontal="center" vertical="center"/>
    </xf>
    <xf numFmtId="0" fontId="38" fillId="4" borderId="53" xfId="0" applyFont="1" applyFill="1" applyBorder="1" applyAlignment="1">
      <alignment horizontal="center" vertical="center" wrapText="1"/>
    </xf>
    <xf numFmtId="165" fontId="39" fillId="0" borderId="19" xfId="0" applyNumberFormat="1" applyFont="1" applyBorder="1" applyAlignment="1">
      <alignment horizontal="center" vertical="center"/>
    </xf>
    <xf numFmtId="0" fontId="38" fillId="0" borderId="25" xfId="0" applyFont="1" applyBorder="1" applyAlignment="1">
      <alignment vertical="center" wrapText="1"/>
    </xf>
    <xf numFmtId="0" fontId="38" fillId="0" borderId="36" xfId="0" applyFont="1" applyBorder="1" applyAlignment="1">
      <alignment vertical="center" wrapText="1"/>
    </xf>
    <xf numFmtId="0" fontId="38" fillId="0" borderId="26" xfId="0" applyFont="1" applyBorder="1" applyAlignment="1">
      <alignment vertical="center" wrapText="1"/>
    </xf>
    <xf numFmtId="0" fontId="38" fillId="0" borderId="37" xfId="0" applyFont="1" applyBorder="1" applyAlignment="1">
      <alignment vertical="center" wrapText="1"/>
    </xf>
    <xf numFmtId="0" fontId="38" fillId="0" borderId="0" xfId="0" applyFont="1" applyAlignment="1">
      <alignment vertical="center" wrapText="1"/>
    </xf>
    <xf numFmtId="2" fontId="38" fillId="0" borderId="1" xfId="0" applyNumberFormat="1" applyFont="1" applyBorder="1" applyAlignment="1">
      <alignment horizontal="center" vertical="center"/>
    </xf>
    <xf numFmtId="165" fontId="39" fillId="0" borderId="1" xfId="0" applyNumberFormat="1" applyFont="1" applyBorder="1" applyAlignment="1">
      <alignment horizontal="center" vertical="center"/>
    </xf>
    <xf numFmtId="0" fontId="29" fillId="0" borderId="10" xfId="0" applyFont="1" applyBorder="1" applyAlignment="1">
      <alignment horizontal="center" vertical="center" wrapText="1"/>
    </xf>
    <xf numFmtId="0" fontId="38" fillId="4" borderId="61" xfId="0" applyFont="1" applyFill="1" applyBorder="1" applyAlignment="1">
      <alignment wrapText="1"/>
    </xf>
    <xf numFmtId="0" fontId="38" fillId="4" borderId="24" xfId="0" applyFont="1" applyFill="1" applyBorder="1" applyAlignment="1">
      <alignment wrapText="1"/>
    </xf>
    <xf numFmtId="0" fontId="38" fillId="4" borderId="9" xfId="0" applyFont="1" applyFill="1" applyBorder="1" applyAlignment="1">
      <alignment wrapText="1"/>
    </xf>
    <xf numFmtId="0" fontId="38" fillId="4" borderId="1" xfId="0" applyFont="1" applyFill="1" applyBorder="1" applyAlignment="1">
      <alignment horizontal="center" vertical="center"/>
    </xf>
    <xf numFmtId="0" fontId="38" fillId="4" borderId="1" xfId="0" applyFont="1" applyFill="1" applyBorder="1" applyAlignment="1">
      <alignment horizontal="center" vertical="center" wrapText="1"/>
    </xf>
    <xf numFmtId="0" fontId="31" fillId="4" borderId="1" xfId="3" applyFont="1" applyFill="1" applyBorder="1" applyAlignment="1">
      <alignment horizontal="center" vertical="center" wrapText="1"/>
    </xf>
    <xf numFmtId="0" fontId="31" fillId="8" borderId="1" xfId="3" applyFont="1" applyFill="1" applyBorder="1" applyAlignment="1">
      <alignment horizontal="center" vertical="center" wrapText="1"/>
    </xf>
    <xf numFmtId="0" fontId="31" fillId="8" borderId="1" xfId="3" applyFont="1" applyFill="1" applyBorder="1" applyAlignment="1">
      <alignment horizontal="center" vertical="center"/>
    </xf>
    <xf numFmtId="0" fontId="32" fillId="4" borderId="1" xfId="9" applyFont="1" applyFill="1" applyBorder="1" applyAlignment="1">
      <alignment horizontal="center"/>
    </xf>
    <xf numFmtId="0" fontId="31" fillId="8" borderId="31" xfId="3" applyFont="1" applyFill="1" applyBorder="1" applyAlignment="1">
      <alignment horizontal="center" vertical="center" wrapText="1"/>
    </xf>
    <xf numFmtId="0" fontId="31" fillId="8" borderId="7" xfId="3" applyFont="1" applyFill="1" applyBorder="1" applyAlignment="1">
      <alignment horizontal="center" vertical="center" wrapText="1"/>
    </xf>
    <xf numFmtId="0" fontId="31" fillId="8" borderId="2" xfId="3" applyFont="1" applyFill="1" applyBorder="1" applyAlignment="1">
      <alignment horizontal="center" vertical="center" wrapText="1"/>
    </xf>
    <xf numFmtId="0" fontId="31" fillId="4" borderId="1" xfId="3" applyFont="1" applyFill="1" applyBorder="1" applyAlignment="1">
      <alignment horizontal="center" vertical="center"/>
    </xf>
    <xf numFmtId="0" fontId="31" fillId="0" borderId="0" xfId="9" applyFont="1" applyAlignment="1">
      <alignment horizontal="left" vertical="center" wrapText="1"/>
    </xf>
    <xf numFmtId="0" fontId="42" fillId="8" borderId="39" xfId="9" applyFont="1" applyFill="1" applyBorder="1" applyAlignment="1">
      <alignment horizontal="left" vertical="center" wrapText="1"/>
    </xf>
    <xf numFmtId="0" fontId="42" fillId="8" borderId="0" xfId="9" applyFont="1" applyFill="1" applyAlignment="1">
      <alignment horizontal="left" vertical="center" wrapText="1"/>
    </xf>
    <xf numFmtId="0" fontId="35" fillId="0" borderId="40" xfId="9" applyFont="1" applyBorder="1" applyAlignment="1">
      <alignment horizontal="left" vertical="center"/>
    </xf>
    <xf numFmtId="0" fontId="42" fillId="0" borderId="0" xfId="9" applyFont="1" applyAlignment="1">
      <alignment horizontal="left"/>
    </xf>
    <xf numFmtId="164" fontId="42" fillId="0" borderId="0" xfId="8" applyFont="1" applyBorder="1" applyAlignment="1">
      <alignment horizontal="left" vertical="center" wrapText="1"/>
    </xf>
    <xf numFmtId="0" fontId="3" fillId="2" borderId="1" xfId="0" applyFont="1" applyFill="1" applyBorder="1" applyAlignment="1">
      <alignment horizontal="center" vertical="center" wrapText="1"/>
    </xf>
    <xf numFmtId="0" fontId="26" fillId="16" borderId="10" xfId="0" applyFont="1" applyFill="1" applyBorder="1" applyAlignment="1">
      <alignment horizontal="center" vertical="center" wrapText="1"/>
    </xf>
    <xf numFmtId="0" fontId="31" fillId="0" borderId="1" xfId="3" applyFont="1" applyBorder="1" applyAlignment="1">
      <alignment horizontal="left" vertical="top" wrapText="1"/>
    </xf>
    <xf numFmtId="0" fontId="31" fillId="8" borderId="10" xfId="3" applyFont="1" applyFill="1" applyBorder="1" applyAlignment="1">
      <alignment horizontal="center" vertical="center" wrapText="1"/>
    </xf>
    <xf numFmtId="0" fontId="19" fillId="8" borderId="10" xfId="0" applyFont="1" applyFill="1" applyBorder="1" applyAlignment="1">
      <alignment horizontal="center"/>
    </xf>
    <xf numFmtId="3" fontId="31" fillId="0" borderId="31" xfId="3" applyNumberFormat="1" applyFont="1" applyBorder="1" applyAlignment="1">
      <alignment horizontal="right" vertical="center"/>
    </xf>
    <xf numFmtId="3" fontId="31" fillId="0" borderId="7" xfId="3" applyNumberFormat="1" applyFont="1" applyBorder="1" applyAlignment="1">
      <alignment horizontal="right" vertical="center"/>
    </xf>
    <xf numFmtId="0" fontId="61" fillId="16" borderId="10" xfId="0" applyFont="1" applyFill="1" applyBorder="1" applyAlignment="1">
      <alignment horizontal="center" vertical="center"/>
    </xf>
    <xf numFmtId="0" fontId="61" fillId="16" borderId="10" xfId="0" applyFont="1" applyFill="1" applyBorder="1" applyAlignment="1">
      <alignment horizontal="center" vertical="center" wrapText="1"/>
    </xf>
    <xf numFmtId="3" fontId="31" fillId="0" borderId="2" xfId="3" applyNumberFormat="1" applyFont="1" applyBorder="1" applyAlignment="1">
      <alignment horizontal="right" vertical="center"/>
    </xf>
    <xf numFmtId="0" fontId="28" fillId="0" borderId="0" xfId="0" applyFont="1" applyAlignment="1">
      <alignment horizontal="center" wrapText="1"/>
    </xf>
    <xf numFmtId="0" fontId="13" fillId="0" borderId="31" xfId="0" applyFont="1" applyBorder="1" applyAlignment="1">
      <alignment wrapText="1"/>
    </xf>
    <xf numFmtId="0" fontId="13" fillId="0" borderId="7" xfId="0" applyFont="1" applyBorder="1" applyAlignment="1">
      <alignment wrapText="1"/>
    </xf>
    <xf numFmtId="0" fontId="13" fillId="0" borderId="6" xfId="0" applyFont="1" applyBorder="1" applyAlignment="1">
      <alignment wrapText="1"/>
    </xf>
    <xf numFmtId="3" fontId="64" fillId="8" borderId="10" xfId="0" applyNumberFormat="1" applyFont="1" applyFill="1" applyBorder="1" applyAlignment="1">
      <alignment horizontal="center" vertical="center" wrapText="1"/>
    </xf>
    <xf numFmtId="3" fontId="64" fillId="8" borderId="19" xfId="0" applyNumberFormat="1" applyFont="1" applyFill="1" applyBorder="1" applyAlignment="1">
      <alignment horizontal="center" vertical="center" wrapText="1"/>
    </xf>
    <xf numFmtId="0" fontId="61" fillId="16" borderId="1" xfId="0" applyFont="1" applyFill="1" applyBorder="1" applyAlignment="1">
      <alignment horizontal="right"/>
    </xf>
    <xf numFmtId="3" fontId="19" fillId="0" borderId="41" xfId="0" applyNumberFormat="1" applyFont="1" applyBorder="1" applyAlignment="1">
      <alignment horizontal="center" vertical="center" wrapText="1"/>
    </xf>
    <xf numFmtId="0" fontId="64" fillId="4" borderId="1" xfId="0" applyFont="1" applyFill="1" applyBorder="1" applyAlignment="1">
      <alignment horizontal="center"/>
    </xf>
    <xf numFmtId="0" fontId="29" fillId="3" borderId="14" xfId="0" applyFont="1" applyFill="1" applyBorder="1" applyAlignment="1">
      <alignment horizontal="center" vertical="center" wrapText="1"/>
    </xf>
    <xf numFmtId="0" fontId="29" fillId="3" borderId="54" xfId="0" applyFont="1" applyFill="1" applyBorder="1" applyAlignment="1">
      <alignment horizontal="center" vertical="center" wrapText="1"/>
    </xf>
    <xf numFmtId="0" fontId="61" fillId="0" borderId="0" xfId="0" applyFont="1" applyAlignment="1">
      <alignment horizontal="center" vertical="center"/>
    </xf>
    <xf numFmtId="0" fontId="5" fillId="0" borderId="0" xfId="0" applyFont="1" applyAlignment="1">
      <alignment horizontal="left" wrapText="1"/>
    </xf>
    <xf numFmtId="0" fontId="29" fillId="4" borderId="35" xfId="0" applyFont="1" applyFill="1" applyBorder="1" applyAlignment="1">
      <alignment horizontal="center" vertical="center" wrapText="1"/>
    </xf>
    <xf numFmtId="0" fontId="29" fillId="4" borderId="14"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29" fillId="4" borderId="3" xfId="0" applyFont="1" applyFill="1" applyBorder="1" applyAlignment="1">
      <alignment horizontal="center" vertical="center" wrapText="1"/>
    </xf>
    <xf numFmtId="0" fontId="29" fillId="4" borderId="11" xfId="0" applyFont="1" applyFill="1" applyBorder="1" applyAlignment="1">
      <alignment horizontal="center" vertical="center" wrapText="1"/>
    </xf>
    <xf numFmtId="0" fontId="29" fillId="4" borderId="38" xfId="0" applyFont="1" applyFill="1" applyBorder="1" applyAlignment="1">
      <alignment horizontal="center" vertical="center" wrapText="1"/>
    </xf>
    <xf numFmtId="0" fontId="29" fillId="4" borderId="17" xfId="0" applyFont="1" applyFill="1" applyBorder="1" applyAlignment="1">
      <alignment horizontal="center" vertical="center" wrapText="1"/>
    </xf>
    <xf numFmtId="0" fontId="29" fillId="4" borderId="16" xfId="0" applyFont="1" applyFill="1" applyBorder="1" applyAlignment="1">
      <alignment horizontal="center" vertical="center" wrapText="1"/>
    </xf>
    <xf numFmtId="0" fontId="29" fillId="4" borderId="54" xfId="0" applyFont="1" applyFill="1" applyBorder="1" applyAlignment="1">
      <alignment horizontal="center" vertical="center" wrapText="1"/>
    </xf>
    <xf numFmtId="0" fontId="29" fillId="2" borderId="31" xfId="0" applyFont="1" applyFill="1" applyBorder="1" applyAlignment="1">
      <alignment horizontal="center" vertical="center" wrapText="1"/>
    </xf>
    <xf numFmtId="0" fontId="29" fillId="2" borderId="7" xfId="0" applyFont="1" applyFill="1" applyBorder="1" applyAlignment="1">
      <alignment horizontal="center" vertical="center" wrapText="1"/>
    </xf>
    <xf numFmtId="0" fontId="29" fillId="2" borderId="2"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29" fillId="2" borderId="5" xfId="0" applyFont="1" applyFill="1" applyBorder="1" applyAlignment="1">
      <alignment horizontal="center" vertical="center" wrapText="1"/>
    </xf>
    <xf numFmtId="0" fontId="29" fillId="4" borderId="15"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3" fillId="5" borderId="14" xfId="0" applyFont="1" applyFill="1" applyBorder="1" applyAlignment="1">
      <alignment wrapText="1"/>
    </xf>
    <xf numFmtId="0" fontId="3" fillId="5" borderId="15" xfId="0" applyFont="1" applyFill="1" applyBorder="1" applyAlignment="1">
      <alignment wrapText="1"/>
    </xf>
    <xf numFmtId="0" fontId="3" fillId="5" borderId="8" xfId="0" applyFont="1" applyFill="1" applyBorder="1" applyAlignment="1">
      <alignment wrapText="1"/>
    </xf>
    <xf numFmtId="0" fontId="0" fillId="0" borderId="0" xfId="0" applyAlignment="1">
      <alignment horizontal="left" vertical="center" wrapText="1"/>
    </xf>
    <xf numFmtId="0" fontId="3" fillId="5" borderId="14"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5" borderId="38"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3" fillId="5" borderId="16" xfId="0" applyFont="1" applyFill="1" applyBorder="1" applyAlignment="1">
      <alignment horizontal="center" vertical="center" wrapText="1"/>
    </xf>
    <xf numFmtId="0" fontId="3" fillId="5" borderId="38" xfId="0" applyFont="1" applyFill="1" applyBorder="1" applyAlignment="1">
      <alignment horizontal="center" wrapText="1"/>
    </xf>
    <xf numFmtId="0" fontId="3" fillId="5" borderId="17" xfId="0" applyFont="1" applyFill="1" applyBorder="1" applyAlignment="1">
      <alignment horizontal="center" wrapText="1"/>
    </xf>
    <xf numFmtId="0" fontId="3" fillId="5" borderId="16" xfId="0" applyFont="1" applyFill="1" applyBorder="1" applyAlignment="1">
      <alignment horizontal="center" wrapText="1"/>
    </xf>
    <xf numFmtId="0" fontId="55" fillId="8" borderId="19" xfId="0" applyFont="1" applyFill="1" applyBorder="1" applyAlignment="1">
      <alignment horizontal="center" vertical="center" wrapText="1"/>
    </xf>
    <xf numFmtId="0" fontId="15" fillId="4" borderId="43" xfId="0" applyFont="1" applyFill="1" applyBorder="1" applyAlignment="1">
      <alignment horizontal="center" vertical="center"/>
    </xf>
    <xf numFmtId="0" fontId="15" fillId="4" borderId="57" xfId="0" applyFont="1" applyFill="1" applyBorder="1" applyAlignment="1">
      <alignment horizontal="center" vertical="center"/>
    </xf>
    <xf numFmtId="0" fontId="15" fillId="4" borderId="44" xfId="0" applyFont="1" applyFill="1" applyBorder="1" applyAlignment="1">
      <alignment horizontal="center" vertical="center"/>
    </xf>
    <xf numFmtId="0" fontId="15" fillId="4" borderId="58" xfId="0" applyFont="1" applyFill="1" applyBorder="1" applyAlignment="1">
      <alignment horizontal="center" vertical="center"/>
    </xf>
    <xf numFmtId="0" fontId="55" fillId="0" borderId="10" xfId="0" applyFont="1" applyBorder="1" applyAlignment="1">
      <alignment horizontal="center" vertical="center"/>
    </xf>
    <xf numFmtId="0" fontId="55" fillId="0" borderId="19" xfId="0" applyFont="1" applyBorder="1" applyAlignment="1">
      <alignment horizontal="center" vertical="center" wrapText="1"/>
    </xf>
    <xf numFmtId="0" fontId="32" fillId="0" borderId="19" xfId="0" applyFont="1" applyBorder="1" applyAlignment="1">
      <alignment horizontal="center" vertical="center" wrapText="1"/>
    </xf>
    <xf numFmtId="0" fontId="73" fillId="8" borderId="19" xfId="0" applyFont="1" applyFill="1" applyBorder="1" applyAlignment="1">
      <alignment horizontal="center"/>
    </xf>
    <xf numFmtId="0" fontId="73" fillId="8" borderId="22" xfId="0" applyFont="1" applyFill="1" applyBorder="1" applyAlignment="1">
      <alignment horizontal="center"/>
    </xf>
    <xf numFmtId="0" fontId="16" fillId="10" borderId="60" xfId="0" applyFont="1" applyFill="1" applyBorder="1" applyAlignment="1">
      <alignment horizontal="center" vertical="center" wrapText="1"/>
    </xf>
    <xf numFmtId="0" fontId="16" fillId="10" borderId="55" xfId="0" applyFont="1" applyFill="1" applyBorder="1" applyAlignment="1">
      <alignment horizontal="center" vertical="center" wrapText="1"/>
    </xf>
    <xf numFmtId="0" fontId="16" fillId="10" borderId="45" xfId="0" applyFont="1" applyFill="1" applyBorder="1" applyAlignment="1">
      <alignment horizontal="center" vertical="center" wrapText="1"/>
    </xf>
    <xf numFmtId="0" fontId="15" fillId="4" borderId="1" xfId="2" applyFont="1" applyFill="1" applyBorder="1" applyAlignment="1">
      <alignment horizontal="center" vertical="center" wrapText="1"/>
    </xf>
    <xf numFmtId="0" fontId="19" fillId="2" borderId="10" xfId="0" applyFont="1" applyFill="1" applyBorder="1" applyAlignment="1">
      <alignment horizontal="center" vertical="center" wrapText="1"/>
    </xf>
    <xf numFmtId="0" fontId="19" fillId="2" borderId="19" xfId="0" applyFont="1" applyFill="1" applyBorder="1" applyAlignment="1">
      <alignment horizontal="center" vertical="center" wrapText="1"/>
    </xf>
    <xf numFmtId="0" fontId="19" fillId="2" borderId="22"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4" fillId="0" borderId="0" xfId="0" applyFont="1" applyAlignment="1">
      <alignment horizontal="left" wrapText="1"/>
    </xf>
    <xf numFmtId="0" fontId="5" fillId="2" borderId="20" xfId="0" applyFont="1" applyFill="1" applyBorder="1" applyAlignment="1">
      <alignment horizontal="center" vertical="center" wrapText="1"/>
    </xf>
    <xf numFmtId="0" fontId="15" fillId="4" borderId="39" xfId="2" applyFont="1" applyFill="1" applyBorder="1" applyAlignment="1">
      <alignment horizontal="center" vertical="center" wrapText="1"/>
    </xf>
    <xf numFmtId="0" fontId="15" fillId="4" borderId="13" xfId="2" applyFont="1" applyFill="1" applyBorder="1" applyAlignment="1">
      <alignment horizontal="center" vertical="center" wrapText="1"/>
    </xf>
    <xf numFmtId="0" fontId="3" fillId="2" borderId="6"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15" fillId="8" borderId="51" xfId="3" applyFont="1" applyFill="1" applyBorder="1" applyAlignment="1">
      <alignment horizontal="center" vertical="center" wrapText="1"/>
    </xf>
    <xf numFmtId="0" fontId="15" fillId="8" borderId="51" xfId="3" applyFont="1" applyFill="1" applyBorder="1" applyAlignment="1">
      <alignment horizontal="center" vertical="center"/>
    </xf>
    <xf numFmtId="0" fontId="15" fillId="4" borderId="2" xfId="2" applyFont="1" applyFill="1" applyBorder="1" applyAlignment="1">
      <alignment horizontal="center" vertical="center" wrapText="1"/>
    </xf>
    <xf numFmtId="0" fontId="3" fillId="2" borderId="10" xfId="0" applyFont="1" applyFill="1" applyBorder="1" applyAlignment="1">
      <alignment horizontal="center" vertical="center" wrapText="1"/>
    </xf>
    <xf numFmtId="3" fontId="62" fillId="0" borderId="3" xfId="0" applyNumberFormat="1" applyFont="1" applyBorder="1" applyAlignment="1">
      <alignment horizontal="center" vertical="center"/>
    </xf>
    <xf numFmtId="3" fontId="62" fillId="0" borderId="4" xfId="0" applyNumberFormat="1" applyFont="1" applyBorder="1" applyAlignment="1">
      <alignment horizontal="center" vertical="center"/>
    </xf>
    <xf numFmtId="0" fontId="32" fillId="0" borderId="39" xfId="0" applyFont="1" applyBorder="1" applyAlignment="1">
      <alignment horizontal="left" wrapText="1"/>
    </xf>
  </cellXfs>
  <cellStyles count="10">
    <cellStyle name="Comma" xfId="1" builtinId="3"/>
    <cellStyle name="Comma 2" xfId="8"/>
    <cellStyle name="Comma 5" xfId="6"/>
    <cellStyle name="Hyperlink" xfId="7" builtinId="8"/>
    <cellStyle name="Normal" xfId="0" builtinId="0"/>
    <cellStyle name="Normal 10 2 2" xfId="4"/>
    <cellStyle name="Normal 2" xfId="2"/>
    <cellStyle name="Normal 2 3" xfId="9"/>
    <cellStyle name="Normal 3 10 2" xfId="3"/>
    <cellStyle name="Normal 3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4.xml"/><Relationship Id="rId47" Type="http://schemas.openxmlformats.org/officeDocument/2006/relationships/externalLink" Target="externalLinks/externalLink9.xml"/><Relationship Id="rId50" Type="http://schemas.openxmlformats.org/officeDocument/2006/relationships/externalLink" Target="externalLinks/externalLink12.xml"/><Relationship Id="rId55"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3.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externalLink" Target="externalLinks/externalLink7.xml"/><Relationship Id="rId53"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1.xml"/><Relationship Id="rId57"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6.xml"/><Relationship Id="rId52"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5.xml"/><Relationship Id="rId48" Type="http://schemas.openxmlformats.org/officeDocument/2006/relationships/externalLink" Target="externalLinks/externalLink10.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externalLink" Target="externalLinks/externalLink13.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veselibasministrija-my.sharepoint.com/profile_redirect$/Documents%20and%20Settings/bd-adija/Local%20Settings/Temporary%20Internet%20Files/Content.Outlook/U63RD855/MK_izdev_samaz_2las_2009_31%2010%2008_arESI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rofile_redirect$/Documents%20and%20Settings/bd-adija/Local%20Settings/Temporary%20Internet%20Files/Content.Outlook/U63RD855/MK_izdev_samaz_2las_2009_31%2010%2008_arES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veselibasministrija-my.sharepoint.com/Documents%20and%20Settings/SilvijaJ/Local%20Settings/Temporary%20Internet%20Files/Content.IE5/F51GHD5U/KristineS/My%20Documents/Bud&#382;ets%202012/Budzeta%20forma%2014_05%2001%202012%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ocuments%20and%20Settings/SilvijaJ/Local%20Settings/Temporary%20Internet%20Files/Content.IE5/F51GHD5U/KristineS/My%20Documents/Bud&#382;ets%202012/Budzeta%20forma%2014_05%2001%202012%20(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veselibasministrija-my.sharepoint.com/Ambulatoro_pakalpojumu_nodala/Planosana_2013/SAVA/P&#256;RPLANO&#352;ANA/parplanosana_9menesi/R0020%20-SAVA_izpilde_veiktais_darbs_09201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nozare.pri\vm\Ambulatoro_pakalpojumu_nodala\Planosana_2013\SAVA\P&#256;RPLANO&#352;ANA\parplanosana_9menesi\R0020%20-SAVA_izpilde_veiktais_darbs_09201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veselibasministrija-my.sharepoint.com/Ambulatoro_pakalpojumu_nodala/Planosana_2012/SAVA/!_Grozijumi%202012.gada%20laikaa/Egija_Grozijumi%20ar%2001.10.2012_NEPIENEMTIE/Apaksas%20SAVA%20rikojuma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vnozare.pri\vm\Ambulatoro_pakalpojumu_nodala\Planosana_2012\SAVA\!_Grozijumi%202012.gada%20laikaa\Egija_Grozijumi%20ar%2001.10.2012_NEPIENEMTIE\Apaksas%20SAVA%20rikojumam.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veselibasministrija-my.sharepoint.com/Finansu_planosanas_nodala/BUD&#381;ETS/2019/33_finansejums_2018_2021g.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nansu_planosanas_nodala/BUD&#381;ETS/2019/33_finansejums_2018_2021g.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veselibasministrija-my.sharepoint.com/Users/andris.skrastins/Desktop/Ivita/8_centralizeto_medikamentu_aprekini.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andris.skrastins/Desktop/Ivita/8_centralizeto_medikamentu_aprekini.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veselibasministrija-my.sharepoint.com/Users/liga.citskovska/Documents/2016/Aknu_transp_04.2016/Aknu_transp_kops.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liga.citskovska/Documents/2016/Aknu_transp_04.2016/Aknu_transp_kop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_pamatlidzekli"/>
      <sheetName val="pec str._PL"/>
      <sheetName val="pēc izm.p. PL"/>
      <sheetName val="pamatlidzekli"/>
      <sheetName val="CITO PL"/>
      <sheetName val="pamatlidzekli (2)"/>
      <sheetName val="PT_mazv.inv."/>
      <sheetName val="pēc izm.p. MI"/>
      <sheetName val="pec str_MI"/>
      <sheetName val="mazv.inventars"/>
      <sheetName val="CITO MI"/>
      <sheetName val="mazv.inventars (2)"/>
      <sheetName val="pakalpojums"/>
      <sheetName val="strukturkodi"/>
      <sheetName val="izm.posteni"/>
      <sheetName val="pec_str__PL"/>
      <sheetName val="pec_str__PL1"/>
      <sheetName val="pēc_izm_p__PL"/>
      <sheetName val="CITO_PL"/>
      <sheetName val="pamatlidzekli_(2)"/>
      <sheetName val="PT_mazv_inv_"/>
      <sheetName val="pēc_izm_p__MI"/>
      <sheetName val="pec_str_MI"/>
      <sheetName val="mazv_inventars"/>
      <sheetName val="CITO_MI"/>
      <sheetName val="mazv_inventars_(2)"/>
      <sheetName val="izm_posten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_pamatlidzekli"/>
      <sheetName val="pec str._PL"/>
      <sheetName val="pēc izm.p. PL"/>
      <sheetName val="pamatlidzekli"/>
      <sheetName val="CITO PL"/>
      <sheetName val="pamatlidzekli (2)"/>
      <sheetName val="PT_mazv.inv."/>
      <sheetName val="pēc izm.p. MI"/>
      <sheetName val="pec str_MI"/>
      <sheetName val="mazv.inventars"/>
      <sheetName val="CITO MI"/>
      <sheetName val="mazv.inventars (2)"/>
      <sheetName val="pakalpojums"/>
      <sheetName val="strukturkodi"/>
      <sheetName val="izm.posteni"/>
      <sheetName val="pec_str__PL"/>
      <sheetName val="pec_str__PL1"/>
      <sheetName val="pēc_izm_p__PL"/>
      <sheetName val="CITO_PL"/>
      <sheetName val="pamatlidzekli_(2)"/>
      <sheetName val="PT_mazv_inv_"/>
      <sheetName val="pēc_izm_p__MI"/>
      <sheetName val="pec_str_MI"/>
      <sheetName val="mazv_inventars"/>
      <sheetName val="CITO_MI"/>
      <sheetName val="mazv_inventars_(2)"/>
      <sheetName val="izm_posten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sheetName val="Apvienota_DB"/>
      <sheetName val="Staru_terapija_1_9"/>
      <sheetName val="09"/>
      <sheetName val="08"/>
      <sheetName val="07"/>
      <sheetName val="06"/>
      <sheetName val="05"/>
      <sheetName val="04"/>
      <sheetName val="03"/>
      <sheetName val="02"/>
      <sheetName val="01"/>
      <sheetName val="Macro1"/>
      <sheetName val="PIVOT2"/>
      <sheetName val="greidots"/>
      <sheetName val="R0035.2"/>
      <sheetName val="GALA "/>
      <sheetName val="aprak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35">
          <cell r="A135" t="str">
            <v>Recover</v>
          </cell>
        </row>
      </sheetData>
      <sheetData sheetId="13" refreshError="1"/>
      <sheetData sheetId="14" refreshError="1"/>
      <sheetData sheetId="15">
        <row r="4">
          <cell r="G4" t="str">
            <v>010000495-AP025</v>
          </cell>
        </row>
      </sheetData>
      <sheetData sheetId="16"/>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sheetName val="Apvienota_DB"/>
      <sheetName val="Staru_terapija_1_9"/>
      <sheetName val="09"/>
      <sheetName val="08"/>
      <sheetName val="07"/>
      <sheetName val="06"/>
      <sheetName val="05"/>
      <sheetName val="04"/>
      <sheetName val="03"/>
      <sheetName val="02"/>
      <sheetName val="01"/>
      <sheetName val="Macro1"/>
      <sheetName val="PIVOT2"/>
      <sheetName val="greidots"/>
      <sheetName val="R0035.2"/>
      <sheetName val="GALA "/>
      <sheetName val="aprak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35">
          <cell r="A135" t="str">
            <v>Recover</v>
          </cell>
        </row>
      </sheetData>
      <sheetData sheetId="13" refreshError="1"/>
      <sheetData sheetId="14" refreshError="1"/>
      <sheetData sheetId="15">
        <row r="4">
          <cell r="G4" t="str">
            <v>010000495-AP025</v>
          </cell>
        </row>
      </sheetData>
      <sheetData sheetId="16"/>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 val="izm.posteni"/>
      <sheetName val="strukturkodi"/>
    </sheetNames>
    <sheetDataSet>
      <sheetData sheetId="0" refreshError="1"/>
      <sheetData sheetId="1" refreshError="1"/>
      <sheetData sheetId="2" refreshError="1"/>
      <sheetData sheetId="3">
        <row r="106">
          <cell r="A106" t="str">
            <v>Recover</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 val="izm.posteni"/>
      <sheetName val="strukturkodi"/>
    </sheetNames>
    <sheetDataSet>
      <sheetData sheetId="0" refreshError="1"/>
      <sheetData sheetId="1" refreshError="1"/>
      <sheetData sheetId="2" refreshError="1"/>
      <sheetData sheetId="3">
        <row r="106">
          <cell r="A106" t="str">
            <v>Recover</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9"/>
      <sheetName val="2020"/>
      <sheetName val="noZinojuma"/>
      <sheetName val="detalizēti"/>
      <sheetName val="ATSKAITE_likums_par_budžetu"/>
      <sheetName val="ATSKAITE_2v"/>
    </sheetNames>
    <sheetDataSet>
      <sheetData sheetId="0">
        <row r="16">
          <cell r="C16">
            <v>3050494</v>
          </cell>
        </row>
      </sheetData>
      <sheetData sheetId="1"/>
      <sheetData sheetId="2"/>
      <sheetData sheetId="3"/>
      <sheetData sheetId="4"/>
      <sheetData sheetId="5"/>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9"/>
      <sheetName val="2020"/>
      <sheetName val="noZinojuma"/>
      <sheetName val="detalizēti"/>
      <sheetName val="ATSKAITE_likums_par_budžetu"/>
      <sheetName val="ATSKAITE_2v"/>
    </sheetNames>
    <sheetDataSet>
      <sheetData sheetId="0">
        <row r="16">
          <cell r="C16">
            <v>3050494</v>
          </cell>
        </row>
      </sheetData>
      <sheetData sheetId="1"/>
      <sheetData sheetId="2"/>
      <sheetData sheetId="3"/>
      <sheetData sheetId="4"/>
      <sheetData sheetId="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1."/>
      <sheetName val="8.2."/>
      <sheetName val="8.3."/>
      <sheetName val="8.4."/>
      <sheetName val="8.5."/>
      <sheetName val="Sheet9"/>
      <sheetName val="Sheet10"/>
      <sheetName val="Sheet11"/>
      <sheetName val="Sheet1"/>
    </sheetNames>
    <sheetDataSet>
      <sheetData sheetId="0">
        <row r="5">
          <cell r="C5">
            <v>36540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1."/>
      <sheetName val="8.2."/>
      <sheetName val="8.3."/>
      <sheetName val="8.4."/>
      <sheetName val="8.5."/>
      <sheetName val="Sheet9"/>
      <sheetName val="Sheet10"/>
      <sheetName val="Sheet11"/>
      <sheetName val="Sheet1"/>
    </sheetNames>
    <sheetDataSet>
      <sheetData sheetId="0">
        <row r="5">
          <cell r="C5">
            <v>36540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row r="4">
          <cell r="B4">
            <v>20.833333333333332</v>
          </cell>
        </row>
        <row r="5">
          <cell r="B5">
            <v>168</v>
          </cell>
        </row>
        <row r="6">
          <cell r="B6">
            <v>9.5833333333333339</v>
          </cell>
        </row>
        <row r="7">
          <cell r="B7">
            <v>1.25</v>
          </cell>
        </row>
      </sheetData>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row r="4">
          <cell r="B4">
            <v>20.833333333333332</v>
          </cell>
        </row>
        <row r="5">
          <cell r="B5">
            <v>168</v>
          </cell>
        </row>
        <row r="6">
          <cell r="B6">
            <v>9.5833333333333339</v>
          </cell>
        </row>
        <row r="7">
          <cell r="B7">
            <v>1.25</v>
          </cell>
        </row>
      </sheetData>
      <sheetData sheetId="1" refreshError="1"/>
      <sheetData sheetId="2" refreshError="1"/>
      <sheetData sheetId="3" refreshError="1"/>
      <sheetData sheetId="4" refreshError="1"/>
      <sheetData sheetId="5"/>
      <sheetData sheetId="6" refreshError="1"/>
      <sheetData sheetId="7" refreshError="1"/>
    </sheetDataSet>
  </externalBook>
</externalLink>
</file>

<file path=xl/persons/person.xml><?xml version="1.0" encoding="utf-8"?>
<personList xmlns="http://schemas.microsoft.com/office/spreadsheetml/2018/threadedcomments" xmlns:x="http://schemas.openxmlformats.org/spreadsheetml/2006/main">
  <person displayName="Ieva Špironoka" id="{2F836AB7-CEEF-4B75-9085-25CC11411FE3}" userId="S::ieva.spironoka@vm.gov.lv::cbeae7fb-cdc1-491d-9d68-11003b490a97"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L43" dT="2025-10-06T14:27:27.87" personId="{2F836AB7-CEEF-4B75-9085-25CC11411FE3}" id="{AD719A21-F4FC-4050-B8EF-098FA56093DE}">
    <text>Nav pareizās summas no sheet paņemtas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3" Type="http://schemas.openxmlformats.org/officeDocument/2006/relationships/hyperlink" Target="https://baw.nfz.gov.pl/NFZ/document/43180/Zarzadzenie-23_2024_DSOZ" TargetMode="External"/><Relationship Id="rId2" Type="http://schemas.openxmlformats.org/officeDocument/2006/relationships/hyperlink" Target="https://www.tervisekassa.ee/partnerile/raviasutusele/tervishoiuteenuste-loetelu" TargetMode="External"/><Relationship Id="rId1" Type="http://schemas.openxmlformats.org/officeDocument/2006/relationships/hyperlink" Target="https://www.e-tar.lt/portal/lt/legalAct/e94bd2d05b8211edbc04912defe897d1/asr" TargetMode="External"/><Relationship Id="rId5" Type="http://schemas.openxmlformats.org/officeDocument/2006/relationships/printerSettings" Target="../printerSettings/printerSettings25.bin"/><Relationship Id="rId4" Type="http://schemas.openxmlformats.org/officeDocument/2006/relationships/hyperlink" Target="https://www.vmnvd.gov.lv/lv/drg-grupas-un-raditaji-maksajuma-aprekinam" TargetMode="Externa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17"/>
  <sheetViews>
    <sheetView tabSelected="1" zoomScale="60" zoomScaleNormal="60" zoomScaleSheetLayoutView="50" workbookViewId="0">
      <pane ySplit="5" topLeftCell="A6" activePane="bottomLeft" state="frozen"/>
      <selection pane="bottomLeft" activeCell="A4" sqref="A4:A5"/>
    </sheetView>
  </sheetViews>
  <sheetFormatPr defaultColWidth="8.75" defaultRowHeight="15"/>
  <cols>
    <col min="1" max="1" width="14.125" style="1083" customWidth="1"/>
    <col min="2" max="2" width="67.75" style="660" customWidth="1"/>
    <col min="3" max="3" width="42" style="660" customWidth="1"/>
    <col min="4" max="4" width="38.5" style="660" customWidth="1"/>
    <col min="5" max="5" width="30.5" style="1119" customWidth="1"/>
    <col min="6" max="7" width="20.125" style="255" customWidth="1"/>
    <col min="8" max="8" width="17" style="255" hidden="1" customWidth="1"/>
    <col min="9" max="10" width="17" style="255" customWidth="1"/>
    <col min="11" max="12" width="29.125" style="255" customWidth="1"/>
    <col min="13" max="13" width="29.125" style="660" customWidth="1"/>
    <col min="14" max="14" width="29.125" style="1084" customWidth="1"/>
    <col min="15" max="15" width="87.25" style="1084" customWidth="1"/>
    <col min="16" max="16" width="24.5" style="1084" customWidth="1"/>
    <col min="17" max="16384" width="8.75" style="255"/>
  </cols>
  <sheetData>
    <row r="1" spans="1:16" ht="9" customHeight="1">
      <c r="A1" s="1079"/>
      <c r="B1" s="1080"/>
      <c r="C1" s="1080"/>
      <c r="D1" s="1080"/>
      <c r="E1" s="1081"/>
      <c r="F1" s="571"/>
      <c r="G1" s="571"/>
      <c r="H1" s="571"/>
      <c r="I1" s="571"/>
      <c r="J1" s="571"/>
      <c r="K1" s="571"/>
      <c r="L1" s="571"/>
      <c r="M1" s="1080"/>
      <c r="N1" s="1082"/>
      <c r="O1" s="1082"/>
      <c r="P1" s="1082"/>
    </row>
    <row r="2" spans="1:16" ht="20.25" customHeight="1">
      <c r="B2" s="1121"/>
      <c r="C2" s="1121"/>
      <c r="D2" s="1122"/>
      <c r="E2" s="1121"/>
      <c r="F2" s="1121"/>
      <c r="G2" s="1121"/>
      <c r="H2" s="1121"/>
      <c r="I2" s="1121"/>
      <c r="J2" s="1121"/>
      <c r="K2" s="1121"/>
      <c r="L2" s="1123" t="s">
        <v>1011</v>
      </c>
      <c r="N2" s="1121"/>
      <c r="P2" s="1124"/>
    </row>
    <row r="3" spans="1:16" ht="6.75" customHeight="1">
      <c r="A3" s="1079"/>
      <c r="B3" s="1080"/>
      <c r="C3" s="1080"/>
      <c r="D3" s="1080"/>
      <c r="E3" s="1081"/>
      <c r="F3" s="571"/>
      <c r="G3" s="571"/>
      <c r="H3" s="571"/>
      <c r="I3" s="571"/>
      <c r="J3" s="571"/>
      <c r="K3" s="571"/>
      <c r="L3" s="571"/>
      <c r="M3" s="1080"/>
      <c r="N3" s="1082"/>
      <c r="O3" s="1082"/>
      <c r="P3" s="1082"/>
    </row>
    <row r="4" spans="1:16" ht="84" customHeight="1">
      <c r="A4" s="1369" t="s">
        <v>0</v>
      </c>
      <c r="B4" s="1382" t="s">
        <v>1</v>
      </c>
      <c r="C4" s="1362" t="s">
        <v>2</v>
      </c>
      <c r="D4" s="1364" t="s">
        <v>3</v>
      </c>
      <c r="E4" s="1384" t="s">
        <v>4</v>
      </c>
      <c r="F4" s="1389" t="s">
        <v>5</v>
      </c>
      <c r="G4" s="1390"/>
      <c r="H4" s="1435" t="s">
        <v>1012</v>
      </c>
      <c r="I4" s="1435"/>
      <c r="J4" s="1435"/>
      <c r="K4" s="1435"/>
      <c r="L4" s="1435"/>
      <c r="M4" s="1383" t="s">
        <v>6</v>
      </c>
      <c r="N4" s="1383" t="s">
        <v>7</v>
      </c>
      <c r="O4" s="1383" t="s">
        <v>8</v>
      </c>
      <c r="P4" s="1383" t="s">
        <v>9</v>
      </c>
    </row>
    <row r="5" spans="1:16" ht="57">
      <c r="A5" s="1381"/>
      <c r="B5" s="1383"/>
      <c r="C5" s="1363"/>
      <c r="D5" s="1365"/>
      <c r="E5" s="1385"/>
      <c r="F5" s="1125" t="s">
        <v>11</v>
      </c>
      <c r="G5" s="1125" t="s">
        <v>12</v>
      </c>
      <c r="H5" s="1125" t="s">
        <v>10</v>
      </c>
      <c r="I5" s="1125" t="s">
        <v>11</v>
      </c>
      <c r="J5" s="1125" t="s">
        <v>12</v>
      </c>
      <c r="K5" s="1126" t="s">
        <v>13</v>
      </c>
      <c r="L5" s="1127" t="s">
        <v>14</v>
      </c>
      <c r="M5" s="1386"/>
      <c r="N5" s="1386"/>
      <c r="O5" s="1386"/>
      <c r="P5" s="1386"/>
    </row>
    <row r="6" spans="1:16">
      <c r="A6" s="1366" t="s">
        <v>15</v>
      </c>
      <c r="B6" s="1367"/>
      <c r="C6" s="1367"/>
      <c r="D6" s="1368"/>
      <c r="E6" s="1203"/>
      <c r="F6" s="1128">
        <f>F10+F11</f>
        <v>115761656.40000001</v>
      </c>
      <c r="G6" s="1128">
        <f t="shared" ref="G6:L6" si="0">G10+G11</f>
        <v>116652568.40000001</v>
      </c>
      <c r="H6" s="1128">
        <f t="shared" si="0"/>
        <v>0</v>
      </c>
      <c r="I6" s="1128">
        <f>I10+I11</f>
        <v>0</v>
      </c>
      <c r="J6" s="1128">
        <f t="shared" si="0"/>
        <v>42230606.946199998</v>
      </c>
      <c r="K6" s="1128">
        <f t="shared" si="0"/>
        <v>0</v>
      </c>
      <c r="L6" s="1128">
        <f t="shared" si="0"/>
        <v>47229137.107669994</v>
      </c>
      <c r="M6" s="1129"/>
      <c r="N6" s="1129"/>
      <c r="O6" s="1129"/>
      <c r="P6" s="1129"/>
    </row>
    <row r="7" spans="1:16">
      <c r="A7" s="1201"/>
      <c r="B7" s="1369" t="s">
        <v>16</v>
      </c>
      <c r="C7" s="1369"/>
      <c r="D7" s="1369"/>
      <c r="E7" s="1204"/>
      <c r="F7" s="1130">
        <f t="shared" ref="F7:L7" si="1">F10</f>
        <v>115580156.40000001</v>
      </c>
      <c r="G7" s="1130">
        <f t="shared" si="1"/>
        <v>115771083.40000001</v>
      </c>
      <c r="H7" s="1130">
        <f t="shared" si="1"/>
        <v>0</v>
      </c>
      <c r="I7" s="1130">
        <f t="shared" si="1"/>
        <v>0</v>
      </c>
      <c r="J7" s="1130">
        <f t="shared" si="1"/>
        <v>42230606.946199998</v>
      </c>
      <c r="K7" s="1130">
        <f t="shared" si="1"/>
        <v>0</v>
      </c>
      <c r="L7" s="1130">
        <f t="shared" si="1"/>
        <v>47229137.107669994</v>
      </c>
      <c r="M7" s="1131"/>
      <c r="N7" s="1131"/>
      <c r="O7" s="1131"/>
      <c r="P7" s="1131"/>
    </row>
    <row r="8" spans="1:16">
      <c r="A8" s="1201"/>
      <c r="B8" s="1369" t="s">
        <v>17</v>
      </c>
      <c r="C8" s="1369"/>
      <c r="D8" s="1369"/>
      <c r="E8" s="1204"/>
      <c r="F8" s="1130">
        <f t="shared" ref="F8:L8" si="2">F11</f>
        <v>181500</v>
      </c>
      <c r="G8" s="1130">
        <f t="shared" si="2"/>
        <v>881485</v>
      </c>
      <c r="H8" s="1130">
        <f t="shared" si="2"/>
        <v>0</v>
      </c>
      <c r="I8" s="1130">
        <f t="shared" si="2"/>
        <v>0</v>
      </c>
      <c r="J8" s="1130">
        <f t="shared" si="2"/>
        <v>0</v>
      </c>
      <c r="K8" s="1130">
        <f t="shared" si="2"/>
        <v>0</v>
      </c>
      <c r="L8" s="1130">
        <f t="shared" si="2"/>
        <v>0</v>
      </c>
      <c r="M8" s="1131"/>
      <c r="N8" s="1131"/>
      <c r="O8" s="1131"/>
      <c r="P8" s="1131"/>
    </row>
    <row r="9" spans="1:16" ht="17.25" customHeight="1">
      <c r="A9" s="1201"/>
      <c r="B9" s="1393" t="s">
        <v>18</v>
      </c>
      <c r="C9" s="1393"/>
      <c r="D9" s="1393"/>
      <c r="E9" s="1204"/>
      <c r="F9" s="1130">
        <f t="shared" ref="F9:L9" si="3">F10+F11</f>
        <v>115761656.40000001</v>
      </c>
      <c r="G9" s="1130">
        <f t="shared" si="3"/>
        <v>116652568.40000001</v>
      </c>
      <c r="H9" s="1130">
        <f t="shared" si="3"/>
        <v>0</v>
      </c>
      <c r="I9" s="1130">
        <f t="shared" si="3"/>
        <v>0</v>
      </c>
      <c r="J9" s="1130">
        <f t="shared" si="3"/>
        <v>42230606.946199998</v>
      </c>
      <c r="K9" s="1130">
        <f t="shared" si="3"/>
        <v>0</v>
      </c>
      <c r="L9" s="1130">
        <f t="shared" si="3"/>
        <v>47229137.107669994</v>
      </c>
      <c r="M9" s="1131"/>
      <c r="N9" s="1131"/>
      <c r="O9" s="1131"/>
      <c r="P9" s="1131"/>
    </row>
    <row r="10" spans="1:16" ht="17.25" customHeight="1">
      <c r="A10" s="1201"/>
      <c r="B10" s="1393" t="s">
        <v>19</v>
      </c>
      <c r="C10" s="1393"/>
      <c r="D10" s="1393"/>
      <c r="E10" s="1204"/>
      <c r="F10" s="1130">
        <f>F12+F13+F14+F15+F16+F17+F18+F19</f>
        <v>115580156.40000001</v>
      </c>
      <c r="G10" s="1130">
        <f t="shared" ref="G10:L10" si="4">G12+G13+G14+G15+G16+G17+G18+G19</f>
        <v>115771083.40000001</v>
      </c>
      <c r="H10" s="1130">
        <f t="shared" si="4"/>
        <v>0</v>
      </c>
      <c r="I10" s="1130">
        <f t="shared" si="4"/>
        <v>0</v>
      </c>
      <c r="J10" s="1130">
        <f t="shared" si="4"/>
        <v>42230606.946199998</v>
      </c>
      <c r="K10" s="1130">
        <f t="shared" si="4"/>
        <v>0</v>
      </c>
      <c r="L10" s="1130">
        <f t="shared" si="4"/>
        <v>47229137.107669994</v>
      </c>
      <c r="M10" s="1131"/>
      <c r="N10" s="1131"/>
      <c r="O10" s="1131"/>
      <c r="P10" s="1131"/>
    </row>
    <row r="11" spans="1:16" ht="17.25" customHeight="1">
      <c r="A11" s="1201"/>
      <c r="B11" s="1393" t="s">
        <v>20</v>
      </c>
      <c r="C11" s="1393"/>
      <c r="D11" s="1393"/>
      <c r="E11" s="1204"/>
      <c r="F11" s="1130">
        <f t="shared" ref="F11:L11" si="5">F20</f>
        <v>181500</v>
      </c>
      <c r="G11" s="1130">
        <f t="shared" si="5"/>
        <v>881485</v>
      </c>
      <c r="H11" s="1130">
        <f t="shared" si="5"/>
        <v>0</v>
      </c>
      <c r="I11" s="1130">
        <f t="shared" si="5"/>
        <v>0</v>
      </c>
      <c r="J11" s="1130">
        <f t="shared" si="5"/>
        <v>0</v>
      </c>
      <c r="K11" s="1130">
        <f t="shared" si="5"/>
        <v>0</v>
      </c>
      <c r="L11" s="1130">
        <f t="shared" si="5"/>
        <v>0</v>
      </c>
      <c r="M11" s="1131"/>
      <c r="N11" s="1131"/>
      <c r="O11" s="1131"/>
      <c r="P11" s="1131"/>
    </row>
    <row r="12" spans="1:16" ht="52.5" customHeight="1">
      <c r="A12" s="1201"/>
      <c r="B12" s="1370"/>
      <c r="C12" s="1371"/>
      <c r="D12" s="1372"/>
      <c r="E12" s="1205" t="s">
        <v>21</v>
      </c>
      <c r="F12" s="1206">
        <f>F58+F68+F71+F72+F73+F76</f>
        <v>50872681</v>
      </c>
      <c r="G12" s="1206">
        <f>G58+G68+G71+G72+G73+G76</f>
        <v>51039892</v>
      </c>
      <c r="H12" s="1206">
        <f>H58+H68+H71+H72+H73+H76</f>
        <v>0</v>
      </c>
      <c r="I12" s="1206">
        <f>I58+I68+I71+I72+I73+I76+I69+I70</f>
        <v>0</v>
      </c>
      <c r="J12" s="1206">
        <f>J58+J68+J71+J72+J73+J76+J69+J70</f>
        <v>15181191.67</v>
      </c>
      <c r="K12" s="1206">
        <f>K58+K68+K71+K72+K73+K76+K69+K70</f>
        <v>0</v>
      </c>
      <c r="L12" s="1206">
        <f>L58+L68+L71+L72+L73+L76+L69+L70</f>
        <v>16162129.970000001</v>
      </c>
      <c r="M12" s="1131"/>
      <c r="N12" s="1131"/>
      <c r="O12" s="1131"/>
      <c r="P12" s="1131"/>
    </row>
    <row r="13" spans="1:16" ht="28.5">
      <c r="A13" s="1201"/>
      <c r="B13" s="1370"/>
      <c r="C13" s="1371"/>
      <c r="D13" s="1372"/>
      <c r="E13" s="1205" t="s">
        <v>22</v>
      </c>
      <c r="F13" s="1206">
        <f t="shared" ref="F13:J13" si="6">F26+F29</f>
        <v>2402897</v>
      </c>
      <c r="G13" s="1206">
        <f t="shared" si="6"/>
        <v>2402897</v>
      </c>
      <c r="H13" s="1206">
        <f t="shared" si="6"/>
        <v>0</v>
      </c>
      <c r="I13" s="1206">
        <f t="shared" si="6"/>
        <v>0</v>
      </c>
      <c r="J13" s="1206">
        <f t="shared" si="6"/>
        <v>2653890</v>
      </c>
      <c r="K13" s="1206">
        <f>K26+K29</f>
        <v>0</v>
      </c>
      <c r="L13" s="1206">
        <f>L26+L29</f>
        <v>2906394</v>
      </c>
      <c r="M13" s="1131"/>
      <c r="N13" s="1131"/>
      <c r="O13" s="1131"/>
      <c r="P13" s="1131"/>
    </row>
    <row r="14" spans="1:16" ht="57" customHeight="1">
      <c r="A14" s="1201"/>
      <c r="B14" s="1370"/>
      <c r="C14" s="1371"/>
      <c r="D14" s="1372"/>
      <c r="E14" s="1205" t="s">
        <v>23</v>
      </c>
      <c r="F14" s="1206">
        <f t="shared" ref="F14:L14" si="7">F27+F36+F30</f>
        <v>899332</v>
      </c>
      <c r="G14" s="1206">
        <f t="shared" si="7"/>
        <v>899332</v>
      </c>
      <c r="H14" s="1206">
        <f t="shared" si="7"/>
        <v>0</v>
      </c>
      <c r="I14" s="1206">
        <f t="shared" si="7"/>
        <v>0</v>
      </c>
      <c r="J14" s="1206">
        <f t="shared" si="7"/>
        <v>344725</v>
      </c>
      <c r="K14" s="1206">
        <f t="shared" si="7"/>
        <v>0</v>
      </c>
      <c r="L14" s="1206">
        <f t="shared" si="7"/>
        <v>344725</v>
      </c>
      <c r="M14" s="1131"/>
      <c r="N14" s="1131"/>
      <c r="O14" s="1131"/>
      <c r="P14" s="1131"/>
    </row>
    <row r="15" spans="1:16" ht="56.25" customHeight="1">
      <c r="A15" s="1201"/>
      <c r="B15" s="1370"/>
      <c r="C15" s="1371"/>
      <c r="D15" s="1372"/>
      <c r="E15" s="1205" t="s">
        <v>24</v>
      </c>
      <c r="F15" s="1206">
        <f t="shared" ref="F15:L15" si="8">F38+F42+F60</f>
        <v>722263</v>
      </c>
      <c r="G15" s="1206">
        <f t="shared" si="8"/>
        <v>722263</v>
      </c>
      <c r="H15" s="1206">
        <f t="shared" si="8"/>
        <v>0</v>
      </c>
      <c r="I15" s="1206">
        <f t="shared" si="8"/>
        <v>0</v>
      </c>
      <c r="J15" s="1206">
        <f t="shared" si="8"/>
        <v>3358163.8574999999</v>
      </c>
      <c r="K15" s="1206">
        <f t="shared" si="8"/>
        <v>0</v>
      </c>
      <c r="L15" s="1206">
        <f t="shared" si="8"/>
        <v>3409646.7532500001</v>
      </c>
      <c r="M15" s="1131"/>
      <c r="N15" s="1131"/>
      <c r="O15" s="1131"/>
      <c r="P15" s="1131"/>
    </row>
    <row r="16" spans="1:16" ht="71.25" customHeight="1">
      <c r="A16" s="1201"/>
      <c r="B16" s="1370"/>
      <c r="C16" s="1371"/>
      <c r="D16" s="1372"/>
      <c r="E16" s="1205" t="s">
        <v>25</v>
      </c>
      <c r="F16" s="1206">
        <f t="shared" ref="F16:L16" si="9">F43+F46+F49+F51+F54+F57+F61+F85+F87</f>
        <v>34374957</v>
      </c>
      <c r="G16" s="1206">
        <f t="shared" si="9"/>
        <v>34398673</v>
      </c>
      <c r="H16" s="1206">
        <f t="shared" si="9"/>
        <v>0</v>
      </c>
      <c r="I16" s="1206">
        <f t="shared" si="9"/>
        <v>0</v>
      </c>
      <c r="J16" s="1206">
        <f t="shared" si="9"/>
        <v>8947240.6438999996</v>
      </c>
      <c r="K16" s="1206">
        <f t="shared" si="9"/>
        <v>0</v>
      </c>
      <c r="L16" s="1206">
        <f t="shared" si="9"/>
        <v>9235804.4765000008</v>
      </c>
      <c r="M16" s="1131"/>
      <c r="N16" s="1131"/>
      <c r="O16" s="1131"/>
      <c r="P16" s="1131"/>
    </row>
    <row r="17" spans="1:16" ht="69.75" customHeight="1">
      <c r="A17" s="1201"/>
      <c r="B17" s="1370"/>
      <c r="C17" s="1371"/>
      <c r="D17" s="1372"/>
      <c r="E17" s="1205" t="s">
        <v>26</v>
      </c>
      <c r="F17" s="1206">
        <f>F45+F50+F74+F84+F86+F88+F89+F90</f>
        <v>26308026.399999999</v>
      </c>
      <c r="G17" s="1206">
        <f t="shared" ref="G17:L17" si="10">G45+G50+G74+G84+G86+G88+G89+G90</f>
        <v>26308026.399999999</v>
      </c>
      <c r="H17" s="1206">
        <f t="shared" si="10"/>
        <v>0</v>
      </c>
      <c r="I17" s="1206">
        <f t="shared" si="10"/>
        <v>0</v>
      </c>
      <c r="J17" s="1206">
        <f t="shared" si="10"/>
        <v>11745395.774799999</v>
      </c>
      <c r="K17" s="1206">
        <f t="shared" si="10"/>
        <v>0</v>
      </c>
      <c r="L17" s="1206">
        <f t="shared" si="10"/>
        <v>15170436.907919999</v>
      </c>
      <c r="M17" s="1131"/>
      <c r="N17" s="1131"/>
      <c r="O17" s="1131"/>
      <c r="P17" s="1131"/>
    </row>
    <row r="18" spans="1:16" ht="68.099999999999994" customHeight="1">
      <c r="A18" s="1202"/>
      <c r="B18" s="1370"/>
      <c r="C18" s="1371"/>
      <c r="D18" s="1372"/>
      <c r="E18" s="1207" t="s">
        <v>27</v>
      </c>
      <c r="F18" s="1208">
        <f t="shared" ref="F18:L18" si="11">F35+F37+F80+F81+F82+F91+F92+F93</f>
        <v>0</v>
      </c>
      <c r="G18" s="1208">
        <f t="shared" si="11"/>
        <v>0</v>
      </c>
      <c r="H18" s="1208">
        <f t="shared" si="11"/>
        <v>0</v>
      </c>
      <c r="I18" s="1208">
        <f t="shared" si="11"/>
        <v>0</v>
      </c>
      <c r="J18" s="1208">
        <f t="shared" si="11"/>
        <v>0</v>
      </c>
      <c r="K18" s="1208">
        <f t="shared" si="11"/>
        <v>0</v>
      </c>
      <c r="L18" s="1208">
        <f t="shared" si="11"/>
        <v>0</v>
      </c>
      <c r="M18" s="1125"/>
      <c r="N18" s="1125"/>
      <c r="O18" s="1125"/>
      <c r="P18" s="1125"/>
    </row>
    <row r="19" spans="1:16" ht="68.25" customHeight="1">
      <c r="A19" s="1209"/>
      <c r="B19" s="1210"/>
      <c r="C19" s="1210"/>
      <c r="D19" s="1210"/>
      <c r="E19" s="1207" t="s">
        <v>681</v>
      </c>
      <c r="F19" s="1211">
        <f t="shared" ref="F19:L19" si="12">F23+F25+F28</f>
        <v>0</v>
      </c>
      <c r="G19" s="1211">
        <f t="shared" si="12"/>
        <v>0</v>
      </c>
      <c r="H19" s="1211">
        <f t="shared" si="12"/>
        <v>0</v>
      </c>
      <c r="I19" s="1211">
        <f t="shared" si="12"/>
        <v>0</v>
      </c>
      <c r="J19" s="1211">
        <f t="shared" si="12"/>
        <v>0</v>
      </c>
      <c r="K19" s="1211">
        <f t="shared" si="12"/>
        <v>0</v>
      </c>
      <c r="L19" s="1211">
        <f t="shared" si="12"/>
        <v>0</v>
      </c>
      <c r="M19" s="1132"/>
      <c r="N19" s="1132"/>
      <c r="O19" s="1132"/>
      <c r="P19" s="1132"/>
    </row>
    <row r="20" spans="1:16" ht="68.25" customHeight="1">
      <c r="A20" s="1209"/>
      <c r="B20" s="1210"/>
      <c r="C20" s="1210"/>
      <c r="D20" s="1210"/>
      <c r="E20" s="1207" t="s">
        <v>88</v>
      </c>
      <c r="F20" s="1211">
        <f>F24+F39+F48+F52+F55+F56+F59+F62+F64+F65+F79+F104+F105+F106+F107+F108+F109+F47+F100</f>
        <v>181500</v>
      </c>
      <c r="G20" s="1211">
        <f>G24+G39+G52+G55+G56+G59+G62+G64+G65+G79+G104+G105+G106+G107+G108+G109+G47+G100+G44</f>
        <v>881485</v>
      </c>
      <c r="H20" s="1211">
        <f>H24+H39+H48+H52+H55+H56+H59+H62+H64+H65+H79+H104+H105+H106+H107+H108+H109+H47+H100</f>
        <v>0</v>
      </c>
      <c r="I20" s="1211">
        <f>I24+I39+I48+I52+I55+I56+I59+I62+I64+I65+I79+I104+I105+I106+I107+I108+I109+I47+I100</f>
        <v>0</v>
      </c>
      <c r="J20" s="1211">
        <f>J24+J39+J48+J52+J55+J56+J59+J62+J64+J65+J79+J104+J105+J106+J107+J108+J109+J47+J100</f>
        <v>0</v>
      </c>
      <c r="K20" s="1211">
        <f>K24+K39+K48+K52+K55+K56+K59+K62+K64+K65+K79+K104+K105+K106+K107+K108+K109+K47+K100</f>
        <v>0</v>
      </c>
      <c r="L20" s="1211">
        <f>L24+L39+L48+L52+L55+L56+L59+L62+L64+L65+L79+L104+L105+L106+L107+L108+L109+L47+L100</f>
        <v>0</v>
      </c>
      <c r="M20" s="1132"/>
      <c r="N20" s="1132"/>
      <c r="O20" s="1132"/>
      <c r="P20" s="1132"/>
    </row>
    <row r="21" spans="1:16" ht="21" customHeight="1">
      <c r="A21" s="1436" t="s">
        <v>28</v>
      </c>
      <c r="B21" s="1437"/>
      <c r="C21" s="1387" t="s">
        <v>29</v>
      </c>
      <c r="D21" s="1388"/>
      <c r="E21" s="1133"/>
      <c r="F21" s="1134">
        <f t="shared" ref="F21:L21" si="13">SUM(F22)</f>
        <v>3114639</v>
      </c>
      <c r="G21" s="1134">
        <f t="shared" si="13"/>
        <v>3114639</v>
      </c>
      <c r="H21" s="1134">
        <f t="shared" si="13"/>
        <v>0</v>
      </c>
      <c r="I21" s="1134">
        <f t="shared" si="13"/>
        <v>0</v>
      </c>
      <c r="J21" s="1134">
        <f t="shared" si="13"/>
        <v>2998615</v>
      </c>
      <c r="K21" s="1134">
        <f t="shared" si="13"/>
        <v>0</v>
      </c>
      <c r="L21" s="1134">
        <f t="shared" si="13"/>
        <v>3251119</v>
      </c>
      <c r="M21" s="1135"/>
      <c r="N21" s="1136"/>
      <c r="O21" s="1136"/>
      <c r="P21" s="1136"/>
    </row>
    <row r="22" spans="1:16" ht="15" customHeight="1">
      <c r="A22" s="1378" t="s">
        <v>30</v>
      </c>
      <c r="B22" s="1379"/>
      <c r="C22" s="1379"/>
      <c r="D22" s="1380"/>
      <c r="E22" s="1085" t="s">
        <v>31</v>
      </c>
      <c r="F22" s="1137">
        <f t="shared" ref="F22:L22" si="14">SUM(F23:F30)</f>
        <v>3114639</v>
      </c>
      <c r="G22" s="1137">
        <f t="shared" si="14"/>
        <v>3114639</v>
      </c>
      <c r="H22" s="1137">
        <f t="shared" si="14"/>
        <v>0</v>
      </c>
      <c r="I22" s="1137">
        <f t="shared" si="14"/>
        <v>0</v>
      </c>
      <c r="J22" s="1137">
        <f t="shared" si="14"/>
        <v>2998615</v>
      </c>
      <c r="K22" s="1137">
        <f t="shared" si="14"/>
        <v>0</v>
      </c>
      <c r="L22" s="1137">
        <f t="shared" si="14"/>
        <v>3251119</v>
      </c>
      <c r="M22" s="1086"/>
      <c r="N22" s="1087"/>
      <c r="O22" s="1087"/>
      <c r="P22" s="1087" t="s">
        <v>31</v>
      </c>
    </row>
    <row r="23" spans="1:16" ht="133.5" customHeight="1">
      <c r="A23" s="1212" t="s">
        <v>32</v>
      </c>
      <c r="B23" s="1138" t="s">
        <v>709</v>
      </c>
      <c r="C23" s="1138" t="s">
        <v>710</v>
      </c>
      <c r="D23" s="1138" t="s">
        <v>711</v>
      </c>
      <c r="E23" s="1213" t="s">
        <v>681</v>
      </c>
      <c r="F23" s="1214">
        <v>0</v>
      </c>
      <c r="G23" s="1214">
        <v>0</v>
      </c>
      <c r="H23" s="1214"/>
      <c r="I23" s="1139">
        <v>0</v>
      </c>
      <c r="J23" s="1139">
        <v>0</v>
      </c>
      <c r="K23" s="1139">
        <v>0</v>
      </c>
      <c r="L23" s="1139">
        <v>0</v>
      </c>
      <c r="M23" s="1140" t="s">
        <v>33</v>
      </c>
      <c r="N23" s="1141" t="s">
        <v>985</v>
      </c>
      <c r="O23" s="1141" t="s">
        <v>682</v>
      </c>
      <c r="P23" s="1141" t="s">
        <v>34</v>
      </c>
    </row>
    <row r="24" spans="1:16" s="424" customFormat="1" ht="200.1" customHeight="1">
      <c r="A24" s="1172" t="s">
        <v>35</v>
      </c>
      <c r="B24" s="1174" t="s">
        <v>36</v>
      </c>
      <c r="C24" s="1174" t="s">
        <v>37</v>
      </c>
      <c r="D24" s="201" t="s">
        <v>843</v>
      </c>
      <c r="E24" s="1215" t="s">
        <v>88</v>
      </c>
      <c r="F24" s="1216">
        <v>18150</v>
      </c>
      <c r="G24" s="1216">
        <f>'1.1.2.'!C5</f>
        <v>18150</v>
      </c>
      <c r="H24" s="1216"/>
      <c r="I24" s="1142">
        <v>0</v>
      </c>
      <c r="J24" s="1142">
        <v>0</v>
      </c>
      <c r="K24" s="1142">
        <v>0</v>
      </c>
      <c r="L24" s="1142">
        <v>0</v>
      </c>
      <c r="M24" s="1143" t="s">
        <v>39</v>
      </c>
      <c r="N24" s="1143" t="s">
        <v>986</v>
      </c>
      <c r="O24" s="1144" t="s">
        <v>1079</v>
      </c>
      <c r="P24" s="1143" t="s">
        <v>844</v>
      </c>
    </row>
    <row r="25" spans="1:16" ht="134.25" customHeight="1">
      <c r="A25" s="1217" t="s">
        <v>38</v>
      </c>
      <c r="B25" s="1218" t="s">
        <v>712</v>
      </c>
      <c r="C25" s="1218" t="s">
        <v>713</v>
      </c>
      <c r="D25" s="1218" t="s">
        <v>714</v>
      </c>
      <c r="E25" s="1219" t="s">
        <v>681</v>
      </c>
      <c r="F25" s="1098">
        <v>0</v>
      </c>
      <c r="G25" s="1098">
        <v>0</v>
      </c>
      <c r="H25" s="1098"/>
      <c r="I25" s="1101">
        <v>0</v>
      </c>
      <c r="J25" s="1101">
        <v>0</v>
      </c>
      <c r="K25" s="1101">
        <v>0</v>
      </c>
      <c r="L25" s="1101">
        <v>0</v>
      </c>
      <c r="M25" s="1145" t="s">
        <v>39</v>
      </c>
      <c r="N25" s="1143" t="s">
        <v>987</v>
      </c>
      <c r="O25" s="1143" t="s">
        <v>682</v>
      </c>
      <c r="P25" s="1143" t="s">
        <v>40</v>
      </c>
    </row>
    <row r="26" spans="1:16" s="831" customFormat="1" ht="55.5" customHeight="1">
      <c r="A26" s="1373" t="s">
        <v>41</v>
      </c>
      <c r="B26" s="1375" t="s">
        <v>42</v>
      </c>
      <c r="C26" s="1418" t="s">
        <v>43</v>
      </c>
      <c r="D26" s="1375" t="s">
        <v>44</v>
      </c>
      <c r="E26" s="1190" t="s">
        <v>45</v>
      </c>
      <c r="F26" s="1220">
        <v>2402897</v>
      </c>
      <c r="G26" s="1220">
        <v>2402897</v>
      </c>
      <c r="H26" s="1221"/>
      <c r="I26" s="1147">
        <v>0</v>
      </c>
      <c r="J26" s="1147">
        <f>'1.1.4.1.'!C6</f>
        <v>1625170</v>
      </c>
      <c r="K26" s="1147">
        <v>0</v>
      </c>
      <c r="L26" s="1147">
        <f>'1.1.4.1.'!D6</f>
        <v>1826238</v>
      </c>
      <c r="M26" s="1448" t="s">
        <v>988</v>
      </c>
      <c r="N26" s="1357" t="s">
        <v>860</v>
      </c>
      <c r="O26" s="1412" t="s">
        <v>1074</v>
      </c>
      <c r="P26" s="1357" t="s">
        <v>841</v>
      </c>
    </row>
    <row r="27" spans="1:16" s="831" customFormat="1" ht="54" customHeight="1">
      <c r="A27" s="1374"/>
      <c r="B27" s="1376"/>
      <c r="C27" s="1416"/>
      <c r="D27" s="1377"/>
      <c r="E27" s="1223" t="s">
        <v>46</v>
      </c>
      <c r="F27" s="1159">
        <v>693592</v>
      </c>
      <c r="G27" s="1159">
        <v>693592</v>
      </c>
      <c r="H27" s="1224"/>
      <c r="I27" s="1151">
        <v>0</v>
      </c>
      <c r="J27" s="1151">
        <f>'1.1.4.1.'!C7</f>
        <v>167371</v>
      </c>
      <c r="K27" s="1151">
        <v>0</v>
      </c>
      <c r="L27" s="1151">
        <f>'1.1.4.1.'!D7</f>
        <v>167371</v>
      </c>
      <c r="M27" s="1449"/>
      <c r="N27" s="1358"/>
      <c r="O27" s="1413"/>
      <c r="P27" s="1361"/>
    </row>
    <row r="28" spans="1:16" s="831" customFormat="1" ht="51" customHeight="1">
      <c r="A28" s="1374"/>
      <c r="B28" s="1376"/>
      <c r="C28" s="1225" t="s">
        <v>47</v>
      </c>
      <c r="D28" s="1074" t="s">
        <v>48</v>
      </c>
      <c r="E28" s="1226" t="s">
        <v>681</v>
      </c>
      <c r="F28" s="1107">
        <v>0</v>
      </c>
      <c r="G28" s="1107">
        <v>0</v>
      </c>
      <c r="H28" s="1107"/>
      <c r="I28" s="1107">
        <v>0</v>
      </c>
      <c r="J28" s="1107">
        <v>0</v>
      </c>
      <c r="K28" s="1107">
        <v>0</v>
      </c>
      <c r="L28" s="1107">
        <v>0</v>
      </c>
      <c r="M28" s="827" t="s">
        <v>33</v>
      </c>
      <c r="N28" s="1227" t="s">
        <v>860</v>
      </c>
      <c r="O28" s="1108" t="s">
        <v>682</v>
      </c>
      <c r="P28" s="1228" t="s">
        <v>972</v>
      </c>
    </row>
    <row r="29" spans="1:16" s="1230" customFormat="1" ht="51" customHeight="1">
      <c r="A29" s="1444" t="s">
        <v>861</v>
      </c>
      <c r="B29" s="1446" t="s">
        <v>976</v>
      </c>
      <c r="C29" s="1446" t="s">
        <v>977</v>
      </c>
      <c r="D29" s="1446" t="s">
        <v>984</v>
      </c>
      <c r="E29" s="1190" t="s">
        <v>45</v>
      </c>
      <c r="F29" s="1147">
        <v>0</v>
      </c>
      <c r="G29" s="1147">
        <v>0</v>
      </c>
      <c r="H29" s="1147"/>
      <c r="I29" s="1147">
        <v>0</v>
      </c>
      <c r="J29" s="1147">
        <f>'1.1.5.'!D5</f>
        <v>1028720</v>
      </c>
      <c r="K29" s="1229">
        <v>0</v>
      </c>
      <c r="L29" s="1147">
        <f>'1.1.5.'!E5</f>
        <v>1080156</v>
      </c>
      <c r="M29" s="1448" t="s">
        <v>988</v>
      </c>
      <c r="N29" s="1357" t="s">
        <v>860</v>
      </c>
      <c r="O29" s="1359" t="s">
        <v>1074</v>
      </c>
      <c r="P29" s="1357" t="s">
        <v>841</v>
      </c>
    </row>
    <row r="30" spans="1:16" s="1230" customFormat="1" ht="51" customHeight="1">
      <c r="A30" s="1445"/>
      <c r="B30" s="1447"/>
      <c r="C30" s="1447"/>
      <c r="D30" s="1447"/>
      <c r="E30" s="1190" t="s">
        <v>46</v>
      </c>
      <c r="F30" s="1147">
        <v>0</v>
      </c>
      <c r="G30" s="1147">
        <v>0</v>
      </c>
      <c r="H30" s="1147"/>
      <c r="I30" s="1147">
        <v>0</v>
      </c>
      <c r="J30" s="1147">
        <f>'1.1.5.'!D6</f>
        <v>177354</v>
      </c>
      <c r="K30" s="1147">
        <v>0</v>
      </c>
      <c r="L30" s="1147">
        <f>'1.1.5.'!F6</f>
        <v>177354</v>
      </c>
      <c r="M30" s="1449"/>
      <c r="N30" s="1358"/>
      <c r="O30" s="1360"/>
      <c r="P30" s="1361"/>
    </row>
    <row r="31" spans="1:16" s="831" customFormat="1" ht="93" customHeight="1" thickBot="1">
      <c r="A31" s="1440" t="s">
        <v>981</v>
      </c>
      <c r="B31" s="1438" t="s">
        <v>862</v>
      </c>
      <c r="C31" s="1438" t="s">
        <v>863</v>
      </c>
      <c r="D31" s="1153" t="s">
        <v>864</v>
      </c>
      <c r="E31" s="1173"/>
      <c r="F31" s="1231">
        <v>0</v>
      </c>
      <c r="G31" s="1231">
        <v>0</v>
      </c>
      <c r="H31" s="1231"/>
      <c r="I31" s="1231">
        <v>0</v>
      </c>
      <c r="J31" s="1231">
        <v>0</v>
      </c>
      <c r="K31" s="1231">
        <v>0</v>
      </c>
      <c r="L31" s="1231">
        <v>0</v>
      </c>
      <c r="M31" s="1154" t="s">
        <v>60</v>
      </c>
      <c r="N31" s="1232" t="s">
        <v>865</v>
      </c>
      <c r="O31" s="1232" t="s">
        <v>682</v>
      </c>
      <c r="P31" s="1233" t="s">
        <v>866</v>
      </c>
    </row>
    <row r="32" spans="1:16" s="831" customFormat="1" ht="108" customHeight="1" thickBot="1">
      <c r="A32" s="1441"/>
      <c r="B32" s="1439"/>
      <c r="C32" s="1439"/>
      <c r="D32" s="1156" t="s">
        <v>1080</v>
      </c>
      <c r="E32" s="1190"/>
      <c r="F32" s="1220">
        <v>0</v>
      </c>
      <c r="G32" s="1220">
        <v>0</v>
      </c>
      <c r="H32" s="1220"/>
      <c r="I32" s="1220">
        <v>0</v>
      </c>
      <c r="J32" s="1220">
        <v>0</v>
      </c>
      <c r="K32" s="1220">
        <v>0</v>
      </c>
      <c r="L32" s="1220">
        <v>0</v>
      </c>
      <c r="M32" s="830" t="s">
        <v>60</v>
      </c>
      <c r="N32" s="1234" t="s">
        <v>865</v>
      </c>
      <c r="O32" s="1234" t="s">
        <v>682</v>
      </c>
      <c r="P32" s="1157" t="s">
        <v>75</v>
      </c>
    </row>
    <row r="33" spans="1:16" ht="39.75" customHeight="1">
      <c r="A33" s="1442" t="s">
        <v>49</v>
      </c>
      <c r="B33" s="1443"/>
      <c r="C33" s="1470" t="s">
        <v>50</v>
      </c>
      <c r="D33" s="1471"/>
      <c r="E33" s="1088"/>
      <c r="F33" s="1235">
        <f t="shared" ref="F33:L33" si="15">F34+F53+F67+F78+F95+F98</f>
        <v>112647017.40000001</v>
      </c>
      <c r="G33" s="1235">
        <f t="shared" si="15"/>
        <v>113435321.40000001</v>
      </c>
      <c r="H33" s="1235">
        <f t="shared" si="15"/>
        <v>0</v>
      </c>
      <c r="I33" s="1235">
        <f t="shared" si="15"/>
        <v>0</v>
      </c>
      <c r="J33" s="1235">
        <f t="shared" si="15"/>
        <v>39231991.946199998</v>
      </c>
      <c r="K33" s="1235">
        <f t="shared" si="15"/>
        <v>0</v>
      </c>
      <c r="L33" s="1235">
        <f t="shared" si="15"/>
        <v>43978018.107669994</v>
      </c>
      <c r="M33" s="1089"/>
      <c r="N33" s="1090"/>
      <c r="O33" s="1158"/>
      <c r="P33" s="1091"/>
    </row>
    <row r="34" spans="1:16">
      <c r="A34" s="1398" t="s">
        <v>51</v>
      </c>
      <c r="B34" s="1398"/>
      <c r="C34" s="1398"/>
      <c r="D34" s="1399"/>
      <c r="E34" s="1092"/>
      <c r="F34" s="1236">
        <f t="shared" ref="F34:L34" si="16">SUM(F35:F52)</f>
        <v>6187177</v>
      </c>
      <c r="G34" s="1236">
        <f t="shared" si="16"/>
        <v>6254695</v>
      </c>
      <c r="H34" s="1236">
        <f t="shared" si="16"/>
        <v>0</v>
      </c>
      <c r="I34" s="1236">
        <f t="shared" si="16"/>
        <v>0</v>
      </c>
      <c r="J34" s="1236">
        <f>SUM(J35:J52)</f>
        <v>1862334.8404000001</v>
      </c>
      <c r="K34" s="1236">
        <f t="shared" si="16"/>
        <v>0</v>
      </c>
      <c r="L34" s="1236">
        <f t="shared" si="16"/>
        <v>1671579.1404000001</v>
      </c>
      <c r="M34" s="1093"/>
      <c r="N34" s="1094"/>
      <c r="O34" s="1095"/>
      <c r="P34" s="1096"/>
    </row>
    <row r="35" spans="1:16" s="831" customFormat="1" ht="81.75" customHeight="1">
      <c r="A35" s="1429" t="s">
        <v>715</v>
      </c>
      <c r="B35" s="1410" t="s">
        <v>716</v>
      </c>
      <c r="C35" s="1237" t="s">
        <v>717</v>
      </c>
      <c r="D35" s="1225" t="s">
        <v>718</v>
      </c>
      <c r="E35" s="1190" t="s">
        <v>27</v>
      </c>
      <c r="F35" s="1238">
        <v>0</v>
      </c>
      <c r="G35" s="1238">
        <v>0</v>
      </c>
      <c r="H35" s="1238"/>
      <c r="I35" s="1238">
        <v>0</v>
      </c>
      <c r="J35" s="1238">
        <v>0</v>
      </c>
      <c r="K35" s="1238">
        <v>0</v>
      </c>
      <c r="L35" s="1239">
        <v>0</v>
      </c>
      <c r="M35" s="430" t="s">
        <v>60</v>
      </c>
      <c r="N35" s="1170" t="s">
        <v>990</v>
      </c>
      <c r="O35" s="1108" t="s">
        <v>682</v>
      </c>
      <c r="P35" s="1240" t="s">
        <v>926</v>
      </c>
    </row>
    <row r="36" spans="1:16" s="831" customFormat="1" ht="81.75" customHeight="1">
      <c r="A36" s="1430"/>
      <c r="B36" s="1419"/>
      <c r="C36" s="1410" t="s">
        <v>719</v>
      </c>
      <c r="D36" s="1242" t="s">
        <v>867</v>
      </c>
      <c r="E36" s="1190" t="s">
        <v>46</v>
      </c>
      <c r="F36" s="1159">
        <v>205740</v>
      </c>
      <c r="G36" s="1159">
        <v>205740</v>
      </c>
      <c r="H36" s="1238"/>
      <c r="I36" s="1238">
        <v>0</v>
      </c>
      <c r="J36" s="1238">
        <v>0</v>
      </c>
      <c r="K36" s="1238">
        <v>0</v>
      </c>
      <c r="L36" s="1239">
        <v>0</v>
      </c>
      <c r="M36" s="830" t="s">
        <v>989</v>
      </c>
      <c r="N36" s="830" t="s">
        <v>860</v>
      </c>
      <c r="O36" s="1243" t="s">
        <v>682</v>
      </c>
      <c r="P36" s="1240" t="s">
        <v>868</v>
      </c>
    </row>
    <row r="37" spans="1:16" s="831" customFormat="1" ht="71.25" customHeight="1">
      <c r="A37" s="1431"/>
      <c r="B37" s="1416"/>
      <c r="C37" s="1416"/>
      <c r="D37" s="1225" t="s">
        <v>720</v>
      </c>
      <c r="E37" s="1190" t="s">
        <v>27</v>
      </c>
      <c r="F37" s="1238">
        <v>0</v>
      </c>
      <c r="G37" s="1238">
        <v>0</v>
      </c>
      <c r="H37" s="1238"/>
      <c r="I37" s="1238">
        <v>0</v>
      </c>
      <c r="J37" s="1238">
        <v>0</v>
      </c>
      <c r="K37" s="1238">
        <v>0</v>
      </c>
      <c r="L37" s="1239">
        <v>0</v>
      </c>
      <c r="M37" s="430" t="s">
        <v>991</v>
      </c>
      <c r="N37" s="1170" t="s">
        <v>992</v>
      </c>
      <c r="O37" s="1170" t="s">
        <v>682</v>
      </c>
      <c r="P37" s="1240" t="s">
        <v>130</v>
      </c>
    </row>
    <row r="38" spans="1:16" ht="156" customHeight="1">
      <c r="A38" s="1400" t="s">
        <v>52</v>
      </c>
      <c r="B38" s="1400" t="s">
        <v>53</v>
      </c>
      <c r="C38" s="1225" t="s">
        <v>54</v>
      </c>
      <c r="D38" s="1225" t="s">
        <v>913</v>
      </c>
      <c r="E38" s="1245" t="s">
        <v>55</v>
      </c>
      <c r="F38" s="1246">
        <v>66229</v>
      </c>
      <c r="G38" s="1246">
        <v>66229</v>
      </c>
      <c r="H38" s="1246"/>
      <c r="I38" s="1246">
        <v>0</v>
      </c>
      <c r="J38" s="1247">
        <f>'2.1.2.1.'!C5</f>
        <v>45675.899999999994</v>
      </c>
      <c r="K38" s="1247">
        <v>0</v>
      </c>
      <c r="L38" s="1247">
        <f>'2.1.2.1.'!D5</f>
        <v>54177.2</v>
      </c>
      <c r="M38" s="1162" t="s">
        <v>989</v>
      </c>
      <c r="N38" s="322" t="s">
        <v>869</v>
      </c>
      <c r="O38" s="1248" t="s">
        <v>1074</v>
      </c>
      <c r="P38" s="1163" t="s">
        <v>124</v>
      </c>
    </row>
    <row r="39" spans="1:16" ht="174.6" customHeight="1">
      <c r="A39" s="1401"/>
      <c r="B39" s="1401"/>
      <c r="C39" s="1174" t="s">
        <v>58</v>
      </c>
      <c r="D39" s="1174" t="s">
        <v>59</v>
      </c>
      <c r="E39" s="1215" t="s">
        <v>88</v>
      </c>
      <c r="F39" s="1098">
        <v>36300</v>
      </c>
      <c r="G39" s="1098">
        <v>0</v>
      </c>
      <c r="H39" s="1098"/>
      <c r="I39" s="1098">
        <v>0</v>
      </c>
      <c r="J39" s="1098">
        <v>0</v>
      </c>
      <c r="K39" s="1098">
        <v>0</v>
      </c>
      <c r="L39" s="1098">
        <v>0</v>
      </c>
      <c r="M39" s="323" t="s">
        <v>60</v>
      </c>
      <c r="N39" s="1249" t="s">
        <v>61</v>
      </c>
      <c r="O39" s="1108" t="s">
        <v>1081</v>
      </c>
      <c r="P39" s="323" t="s">
        <v>62</v>
      </c>
    </row>
    <row r="40" spans="1:16" ht="85.5" customHeight="1">
      <c r="A40" s="1217" t="s">
        <v>63</v>
      </c>
      <c r="B40" s="1218" t="s">
        <v>978</v>
      </c>
      <c r="C40" s="1218" t="s">
        <v>870</v>
      </c>
      <c r="D40" s="1250" t="s">
        <v>979</v>
      </c>
      <c r="E40" s="1097"/>
      <c r="F40" s="1098">
        <v>0</v>
      </c>
      <c r="G40" s="1098">
        <v>0</v>
      </c>
      <c r="H40" s="1098"/>
      <c r="I40" s="1098">
        <v>0</v>
      </c>
      <c r="J40" s="1098">
        <v>0</v>
      </c>
      <c r="K40" s="1098">
        <v>0</v>
      </c>
      <c r="L40" s="1098">
        <v>0</v>
      </c>
      <c r="M40" s="323" t="s">
        <v>60</v>
      </c>
      <c r="N40" s="1108" t="s">
        <v>993</v>
      </c>
      <c r="O40" s="1108" t="s">
        <v>682</v>
      </c>
      <c r="P40" s="1108" t="s">
        <v>130</v>
      </c>
    </row>
    <row r="41" spans="1:16" ht="85.5" customHeight="1">
      <c r="A41" s="517" t="s">
        <v>64</v>
      </c>
      <c r="B41" s="1174" t="s">
        <v>958</v>
      </c>
      <c r="C41" s="1174" t="s">
        <v>959</v>
      </c>
      <c r="D41" s="659" t="s">
        <v>960</v>
      </c>
      <c r="E41" s="1099"/>
      <c r="F41" s="1100">
        <v>0</v>
      </c>
      <c r="G41" s="1100">
        <v>0</v>
      </c>
      <c r="H41" s="1100"/>
      <c r="I41" s="1100">
        <v>0</v>
      </c>
      <c r="J41" s="1100">
        <v>0</v>
      </c>
      <c r="K41" s="1100">
        <v>0</v>
      </c>
      <c r="L41" s="1100">
        <v>0</v>
      </c>
      <c r="M41" s="430" t="s">
        <v>961</v>
      </c>
      <c r="N41" s="1170" t="s">
        <v>962</v>
      </c>
      <c r="O41" s="1108" t="s">
        <v>682</v>
      </c>
      <c r="P41" s="1108" t="s">
        <v>130</v>
      </c>
    </row>
    <row r="42" spans="1:16" s="426" customFormat="1" ht="155.25" customHeight="1">
      <c r="A42" s="1402" t="s">
        <v>68</v>
      </c>
      <c r="B42" s="1419" t="s">
        <v>722</v>
      </c>
      <c r="C42" s="368" t="s">
        <v>975</v>
      </c>
      <c r="D42" s="1160" t="s">
        <v>882</v>
      </c>
      <c r="E42" s="1251" t="s">
        <v>55</v>
      </c>
      <c r="F42" s="1252">
        <v>365</v>
      </c>
      <c r="G42" s="1252">
        <v>365</v>
      </c>
      <c r="H42" s="1252"/>
      <c r="I42" s="1161">
        <v>0</v>
      </c>
      <c r="J42" s="1161">
        <f>'2.1.5.1.'!C5</f>
        <v>756702</v>
      </c>
      <c r="K42" s="1161">
        <v>0</v>
      </c>
      <c r="L42" s="1161">
        <f>'2.1.5.1.'!D5</f>
        <v>544105</v>
      </c>
      <c r="M42" s="1162" t="s">
        <v>56</v>
      </c>
      <c r="N42" s="1163" t="s">
        <v>891</v>
      </c>
      <c r="O42" s="1143" t="s">
        <v>1074</v>
      </c>
      <c r="P42" s="1141" t="s">
        <v>86</v>
      </c>
    </row>
    <row r="43" spans="1:16" s="426" customFormat="1" ht="144.6" customHeight="1">
      <c r="A43" s="1402"/>
      <c r="B43" s="1419"/>
      <c r="C43" s="1075" t="s">
        <v>956</v>
      </c>
      <c r="D43" s="1164" t="s">
        <v>881</v>
      </c>
      <c r="E43" s="1219" t="s">
        <v>66</v>
      </c>
      <c r="F43" s="1176">
        <v>0</v>
      </c>
      <c r="G43" s="1176">
        <v>0</v>
      </c>
      <c r="H43" s="1176"/>
      <c r="I43" s="1165">
        <v>0</v>
      </c>
      <c r="J43" s="1166">
        <f>'2.1.5.2.'!C5</f>
        <v>73945.150399999999</v>
      </c>
      <c r="K43" s="1166">
        <v>0</v>
      </c>
      <c r="L43" s="1166">
        <f>'2.1.5.2.'!D5</f>
        <v>87285.150399999999</v>
      </c>
      <c r="M43" s="1145" t="s">
        <v>994</v>
      </c>
      <c r="N43" s="1145" t="s">
        <v>995</v>
      </c>
      <c r="O43" s="1143" t="s">
        <v>1074</v>
      </c>
      <c r="P43" s="1143" t="s">
        <v>927</v>
      </c>
    </row>
    <row r="44" spans="1:16" s="426" customFormat="1" ht="177" customHeight="1">
      <c r="A44" s="1403"/>
      <c r="B44" s="1416"/>
      <c r="C44" s="1253" t="s">
        <v>957</v>
      </c>
      <c r="D44" s="1167" t="s">
        <v>875</v>
      </c>
      <c r="E44" s="1215" t="s">
        <v>88</v>
      </c>
      <c r="F44" s="1254">
        <v>0</v>
      </c>
      <c r="G44" s="1254">
        <f>'2.1.5.3.'!C5</f>
        <v>36300</v>
      </c>
      <c r="H44" s="1254"/>
      <c r="I44" s="1166">
        <v>0</v>
      </c>
      <c r="J44" s="1166">
        <v>0</v>
      </c>
      <c r="K44" s="1166">
        <v>0</v>
      </c>
      <c r="L44" s="1166">
        <v>0</v>
      </c>
      <c r="M44" s="1072" t="s">
        <v>60</v>
      </c>
      <c r="N44" s="1168" t="s">
        <v>890</v>
      </c>
      <c r="O44" s="1149" t="s">
        <v>1081</v>
      </c>
      <c r="P44" s="1169" t="s">
        <v>95</v>
      </c>
    </row>
    <row r="45" spans="1:16" ht="58.5" customHeight="1">
      <c r="A45" s="1400" t="s">
        <v>76</v>
      </c>
      <c r="B45" s="1400" t="s">
        <v>69</v>
      </c>
      <c r="C45" s="1410" t="s">
        <v>953</v>
      </c>
      <c r="D45" s="1410" t="s">
        <v>880</v>
      </c>
      <c r="E45" s="1245" t="s">
        <v>70</v>
      </c>
      <c r="F45" s="1255">
        <v>1045810</v>
      </c>
      <c r="G45" s="1255">
        <v>1045810</v>
      </c>
      <c r="H45" s="1256"/>
      <c r="I45" s="1256">
        <v>0</v>
      </c>
      <c r="J45" s="1175">
        <f>'2.1.6.1.'!C6</f>
        <v>205157.88</v>
      </c>
      <c r="K45" s="1175">
        <v>0</v>
      </c>
      <c r="L45" s="1175">
        <f>'2.1.6.1.'!D6</f>
        <v>205157.88</v>
      </c>
      <c r="M45" s="1414" t="s">
        <v>994</v>
      </c>
      <c r="N45" s="1406" t="s">
        <v>995</v>
      </c>
      <c r="O45" s="1417" t="s">
        <v>1074</v>
      </c>
      <c r="P45" s="1434" t="s">
        <v>71</v>
      </c>
    </row>
    <row r="46" spans="1:16" ht="55.5" customHeight="1">
      <c r="A46" s="1402"/>
      <c r="B46" s="1402"/>
      <c r="C46" s="1419"/>
      <c r="D46" s="1419"/>
      <c r="E46" s="1219" t="s">
        <v>66</v>
      </c>
      <c r="F46" s="1254">
        <v>4830207</v>
      </c>
      <c r="G46" s="1254">
        <v>4830207</v>
      </c>
      <c r="H46" s="1176"/>
      <c r="I46" s="1256">
        <v>0</v>
      </c>
      <c r="J46" s="1175">
        <f>'2.1.6.1.'!C7</f>
        <v>682625.91000000015</v>
      </c>
      <c r="K46" s="1175">
        <v>0</v>
      </c>
      <c r="L46" s="1175">
        <f>'2.1.6.1.'!D7</f>
        <v>682625.91000000015</v>
      </c>
      <c r="M46" s="1413"/>
      <c r="N46" s="1417"/>
      <c r="O46" s="1417"/>
      <c r="P46" s="1466"/>
    </row>
    <row r="47" spans="1:16" ht="174.6" customHeight="1">
      <c r="A47" s="1401"/>
      <c r="B47" s="1401"/>
      <c r="C47" s="1174" t="s">
        <v>954</v>
      </c>
      <c r="D47" s="1174" t="s">
        <v>667</v>
      </c>
      <c r="E47" s="1215" t="s">
        <v>88</v>
      </c>
      <c r="F47" s="1098">
        <v>0</v>
      </c>
      <c r="G47" s="1216">
        <f>'2.1.6.2'!C5</f>
        <v>33759</v>
      </c>
      <c r="H47" s="1098"/>
      <c r="I47" s="1098">
        <v>0</v>
      </c>
      <c r="J47" s="1175">
        <v>0</v>
      </c>
      <c r="K47" s="1101">
        <v>0</v>
      </c>
      <c r="L47" s="1102">
        <v>0</v>
      </c>
      <c r="M47" s="1150" t="s">
        <v>60</v>
      </c>
      <c r="N47" s="1170" t="s">
        <v>726</v>
      </c>
      <c r="O47" s="1170" t="s">
        <v>1081</v>
      </c>
      <c r="P47" s="430" t="s">
        <v>73</v>
      </c>
    </row>
    <row r="48" spans="1:16" ht="66" customHeight="1">
      <c r="A48" s="1403"/>
      <c r="B48" s="1403"/>
      <c r="C48" s="1258" t="s">
        <v>955</v>
      </c>
      <c r="D48" s="1258" t="s">
        <v>74</v>
      </c>
      <c r="E48" s="1196"/>
      <c r="F48" s="1098">
        <v>0</v>
      </c>
      <c r="G48" s="1098">
        <v>0</v>
      </c>
      <c r="H48" s="1098"/>
      <c r="I48" s="1098">
        <v>0</v>
      </c>
      <c r="J48" s="1101">
        <v>0</v>
      </c>
      <c r="K48" s="1101">
        <v>0</v>
      </c>
      <c r="L48" s="1101">
        <v>0</v>
      </c>
      <c r="M48" s="1152" t="s">
        <v>996</v>
      </c>
      <c r="N48" s="322" t="s">
        <v>995</v>
      </c>
      <c r="O48" s="1259" t="s">
        <v>682</v>
      </c>
      <c r="P48" s="430" t="s">
        <v>75</v>
      </c>
    </row>
    <row r="49" spans="1:16" ht="57" customHeight="1">
      <c r="A49" s="1260" t="s">
        <v>80</v>
      </c>
      <c r="B49" s="1237" t="s">
        <v>727</v>
      </c>
      <c r="C49" s="1225" t="s">
        <v>692</v>
      </c>
      <c r="D49" s="1225" t="s">
        <v>79</v>
      </c>
      <c r="E49" s="1219" t="s">
        <v>66</v>
      </c>
      <c r="F49" s="1098">
        <v>0</v>
      </c>
      <c r="G49" s="1098">
        <v>0</v>
      </c>
      <c r="H49" s="1098"/>
      <c r="I49" s="1098">
        <v>0</v>
      </c>
      <c r="J49" s="1101">
        <f>'2.1.7.'!C6</f>
        <v>83080</v>
      </c>
      <c r="K49" s="1101">
        <v>0</v>
      </c>
      <c r="L49" s="1101">
        <f>'2.1.7.'!D6</f>
        <v>83080</v>
      </c>
      <c r="M49" s="1145" t="s">
        <v>989</v>
      </c>
      <c r="N49" s="357"/>
      <c r="O49" s="430" t="s">
        <v>1074</v>
      </c>
      <c r="P49" s="1261" t="s">
        <v>71</v>
      </c>
    </row>
    <row r="50" spans="1:16" ht="53.25" customHeight="1">
      <c r="A50" s="1400" t="s">
        <v>728</v>
      </c>
      <c r="B50" s="1400" t="s">
        <v>729</v>
      </c>
      <c r="C50" s="1410" t="s">
        <v>691</v>
      </c>
      <c r="D50" s="1410" t="s">
        <v>77</v>
      </c>
      <c r="E50" s="1245" t="s">
        <v>70</v>
      </c>
      <c r="F50" s="1214">
        <v>534</v>
      </c>
      <c r="G50" s="1214">
        <v>534</v>
      </c>
      <c r="H50" s="1214"/>
      <c r="I50" s="1214">
        <v>0</v>
      </c>
      <c r="J50" s="1139">
        <f>SUM('2.1.8.'!E6)</f>
        <v>4560</v>
      </c>
      <c r="K50" s="1139">
        <v>0</v>
      </c>
      <c r="L50" s="1139">
        <f>SUM('2.1.8.'!E6)</f>
        <v>4560</v>
      </c>
      <c r="M50" s="1414" t="s">
        <v>989</v>
      </c>
      <c r="N50" s="1406"/>
      <c r="O50" s="1406" t="s">
        <v>1074</v>
      </c>
      <c r="P50" s="1432" t="s">
        <v>71</v>
      </c>
    </row>
    <row r="51" spans="1:16" ht="51" customHeight="1">
      <c r="A51" s="1402"/>
      <c r="B51" s="1402"/>
      <c r="C51" s="1416"/>
      <c r="D51" s="1416"/>
      <c r="E51" s="1219" t="s">
        <v>66</v>
      </c>
      <c r="F51" s="1214">
        <v>1992</v>
      </c>
      <c r="G51" s="1214">
        <v>1992</v>
      </c>
      <c r="H51" s="1098"/>
      <c r="I51" s="1214">
        <v>0</v>
      </c>
      <c r="J51" s="1139">
        <f>SUM('2.1.8.'!E7)</f>
        <v>10588</v>
      </c>
      <c r="K51" s="1139">
        <v>0</v>
      </c>
      <c r="L51" s="1139">
        <f>SUM('2.1.8.'!E7)</f>
        <v>10588</v>
      </c>
      <c r="M51" s="1415"/>
      <c r="N51" s="1464"/>
      <c r="O51" s="1417"/>
      <c r="P51" s="1467"/>
    </row>
    <row r="52" spans="1:16" ht="168.6" customHeight="1">
      <c r="A52" s="517" t="s">
        <v>952</v>
      </c>
      <c r="B52" s="517" t="s">
        <v>81</v>
      </c>
      <c r="C52" s="1262" t="s">
        <v>732</v>
      </c>
      <c r="D52" s="1237" t="s">
        <v>668</v>
      </c>
      <c r="E52" s="1196" t="s">
        <v>88</v>
      </c>
      <c r="F52" s="1214">
        <v>0</v>
      </c>
      <c r="G52" s="1214">
        <f>'2.1.9.'!C5</f>
        <v>33759</v>
      </c>
      <c r="H52" s="1214"/>
      <c r="I52" s="1214">
        <v>0</v>
      </c>
      <c r="J52" s="1139">
        <v>0</v>
      </c>
      <c r="K52" s="1139">
        <v>0</v>
      </c>
      <c r="L52" s="1139">
        <v>0</v>
      </c>
      <c r="M52" s="1140" t="s">
        <v>60</v>
      </c>
      <c r="N52" s="334" t="s">
        <v>82</v>
      </c>
      <c r="O52" s="1170" t="s">
        <v>1081</v>
      </c>
      <c r="P52" s="1170" t="s">
        <v>73</v>
      </c>
    </row>
    <row r="53" spans="1:16">
      <c r="A53" s="1427" t="s">
        <v>83</v>
      </c>
      <c r="B53" s="1427"/>
      <c r="C53" s="1428"/>
      <c r="D53" s="1428"/>
      <c r="E53" s="1103"/>
      <c r="F53" s="1263">
        <f t="shared" ref="F53:L53" si="17">SUM(F54:F66)</f>
        <v>22629030</v>
      </c>
      <c r="G53" s="1263">
        <f t="shared" si="17"/>
        <v>22762966</v>
      </c>
      <c r="H53" s="1263">
        <f t="shared" si="17"/>
        <v>0</v>
      </c>
      <c r="I53" s="1263">
        <f t="shared" si="17"/>
        <v>0</v>
      </c>
      <c r="J53" s="1263">
        <f t="shared" si="17"/>
        <v>5490618.4749999996</v>
      </c>
      <c r="K53" s="1263">
        <f t="shared" si="17"/>
        <v>0</v>
      </c>
      <c r="L53" s="1263">
        <f t="shared" si="17"/>
        <v>5770551.8893499998</v>
      </c>
      <c r="M53" s="1104"/>
      <c r="N53" s="1104"/>
      <c r="O53" s="1105"/>
      <c r="P53" s="1105"/>
    </row>
    <row r="54" spans="1:16" ht="167.25" customHeight="1">
      <c r="A54" s="1217" t="s">
        <v>84</v>
      </c>
      <c r="B54" s="1218" t="s">
        <v>733</v>
      </c>
      <c r="C54" s="1218" t="s">
        <v>734</v>
      </c>
      <c r="D54" s="1264" t="s">
        <v>85</v>
      </c>
      <c r="E54" s="1265" t="s">
        <v>66</v>
      </c>
      <c r="F54" s="1098">
        <v>21010828</v>
      </c>
      <c r="G54" s="1098">
        <v>21010828</v>
      </c>
      <c r="H54" s="1098"/>
      <c r="I54" s="1107">
        <v>0</v>
      </c>
      <c r="J54" s="1021">
        <f>'2.2.1.'!C5</f>
        <v>2254308.3314999999</v>
      </c>
      <c r="K54" s="1021">
        <v>0</v>
      </c>
      <c r="L54" s="1021">
        <f>'2.2.1.'!D5</f>
        <v>2254308.3314999999</v>
      </c>
      <c r="M54" s="323" t="s">
        <v>994</v>
      </c>
      <c r="N54" s="1108" t="s">
        <v>876</v>
      </c>
      <c r="O54" s="830" t="s">
        <v>1074</v>
      </c>
      <c r="P54" s="1266" t="s">
        <v>86</v>
      </c>
    </row>
    <row r="55" spans="1:16" ht="185.1" customHeight="1">
      <c r="A55" s="1244" t="s">
        <v>87</v>
      </c>
      <c r="B55" s="1225" t="s">
        <v>735</v>
      </c>
      <c r="C55" s="1225" t="s">
        <v>877</v>
      </c>
      <c r="D55" s="1225" t="s">
        <v>736</v>
      </c>
      <c r="E55" s="1265" t="s">
        <v>88</v>
      </c>
      <c r="F55" s="1098">
        <v>36300</v>
      </c>
      <c r="G55" s="1098">
        <v>0</v>
      </c>
      <c r="H55" s="1098"/>
      <c r="I55" s="1098">
        <v>0</v>
      </c>
      <c r="J55" s="1101">
        <v>0</v>
      </c>
      <c r="K55" s="1101">
        <v>0</v>
      </c>
      <c r="L55" s="1101">
        <v>0</v>
      </c>
      <c r="M55" s="323" t="s">
        <v>60</v>
      </c>
      <c r="N55" s="323" t="s">
        <v>869</v>
      </c>
      <c r="O55" s="1170" t="s">
        <v>1081</v>
      </c>
      <c r="P55" s="430" t="s">
        <v>67</v>
      </c>
    </row>
    <row r="56" spans="1:16" ht="181.5" customHeight="1">
      <c r="A56" s="1401" t="s">
        <v>89</v>
      </c>
      <c r="B56" s="1418" t="s">
        <v>737</v>
      </c>
      <c r="C56" s="1174" t="s">
        <v>738</v>
      </c>
      <c r="D56" s="1174" t="s">
        <v>883</v>
      </c>
      <c r="E56" s="1190" t="s">
        <v>88</v>
      </c>
      <c r="F56" s="1267">
        <v>36300</v>
      </c>
      <c r="G56" s="1268">
        <v>0</v>
      </c>
      <c r="H56" s="1269"/>
      <c r="I56" s="1269">
        <v>0</v>
      </c>
      <c r="J56" s="1194">
        <v>0</v>
      </c>
      <c r="K56" s="1194">
        <v>0</v>
      </c>
      <c r="L56" s="1194">
        <v>0</v>
      </c>
      <c r="M56" s="1270" t="s">
        <v>60</v>
      </c>
      <c r="N56" s="1270" t="s">
        <v>878</v>
      </c>
      <c r="O56" s="1170" t="s">
        <v>1081</v>
      </c>
      <c r="P56" s="1171" t="s">
        <v>62</v>
      </c>
    </row>
    <row r="57" spans="1:16" ht="56.25" customHeight="1">
      <c r="A57" s="1403"/>
      <c r="B57" s="1403"/>
      <c r="C57" s="1376" t="s">
        <v>740</v>
      </c>
      <c r="D57" s="1376" t="s">
        <v>879</v>
      </c>
      <c r="E57" s="1223" t="s">
        <v>66</v>
      </c>
      <c r="F57" s="1271">
        <v>71148</v>
      </c>
      <c r="G57" s="1269">
        <v>94864</v>
      </c>
      <c r="H57" s="1269"/>
      <c r="I57" s="1269">
        <v>0</v>
      </c>
      <c r="J57" s="1194">
        <f>'2.2.3.2.'!E7</f>
        <v>94864</v>
      </c>
      <c r="K57" s="1194">
        <v>0</v>
      </c>
      <c r="L57" s="1194">
        <f>'2.2.3.2.'!F7</f>
        <v>94864</v>
      </c>
      <c r="M57" s="1434" t="s">
        <v>989</v>
      </c>
      <c r="N57" s="1434" t="s">
        <v>91</v>
      </c>
      <c r="O57" s="1434" t="s">
        <v>1074</v>
      </c>
      <c r="P57" s="1432" t="s">
        <v>124</v>
      </c>
    </row>
    <row r="58" spans="1:16" ht="55.5" customHeight="1">
      <c r="A58" s="1400"/>
      <c r="B58" s="1400"/>
      <c r="C58" s="1376"/>
      <c r="D58" s="1376"/>
      <c r="E58" s="1265" t="s">
        <v>21</v>
      </c>
      <c r="F58" s="1216">
        <v>390159</v>
      </c>
      <c r="G58" s="1216">
        <v>557370</v>
      </c>
      <c r="H58" s="1216"/>
      <c r="I58" s="1269">
        <v>0</v>
      </c>
      <c r="J58" s="1194">
        <f>'2.2.3.2.'!E8</f>
        <v>342112</v>
      </c>
      <c r="K58" s="1194">
        <v>0</v>
      </c>
      <c r="L58" s="1194">
        <f>'2.2.3.2.'!F8</f>
        <v>342112</v>
      </c>
      <c r="M58" s="1392"/>
      <c r="N58" s="1392"/>
      <c r="O58" s="1392"/>
      <c r="P58" s="1433"/>
    </row>
    <row r="59" spans="1:16" ht="170.1" customHeight="1">
      <c r="A59" s="1401"/>
      <c r="B59" s="1401"/>
      <c r="C59" s="1174" t="s">
        <v>836</v>
      </c>
      <c r="D59" s="1174" t="s">
        <v>741</v>
      </c>
      <c r="E59" s="1190" t="s">
        <v>88</v>
      </c>
      <c r="F59" s="1267">
        <v>36300</v>
      </c>
      <c r="G59" s="1272">
        <v>0</v>
      </c>
      <c r="H59" s="1216"/>
      <c r="I59" s="1216">
        <v>0</v>
      </c>
      <c r="J59" s="1142">
        <v>0</v>
      </c>
      <c r="K59" s="1142">
        <v>0</v>
      </c>
      <c r="L59" s="1142">
        <v>0</v>
      </c>
      <c r="M59" s="1108" t="s">
        <v>60</v>
      </c>
      <c r="N59" s="1108" t="s">
        <v>884</v>
      </c>
      <c r="O59" s="1170" t="s">
        <v>1081</v>
      </c>
      <c r="P59" s="1143" t="s">
        <v>62</v>
      </c>
    </row>
    <row r="60" spans="1:16" ht="57.4" customHeight="1">
      <c r="A60" s="1403" t="s">
        <v>90</v>
      </c>
      <c r="B60" s="1416" t="s">
        <v>744</v>
      </c>
      <c r="C60" s="1376" t="s">
        <v>745</v>
      </c>
      <c r="D60" s="1376" t="s">
        <v>885</v>
      </c>
      <c r="E60" s="1273" t="s">
        <v>55</v>
      </c>
      <c r="F60" s="1271">
        <v>655669</v>
      </c>
      <c r="G60" s="1269">
        <v>655669</v>
      </c>
      <c r="H60" s="1269"/>
      <c r="I60" s="1269">
        <v>0</v>
      </c>
      <c r="J60" s="1194">
        <f>'2.2.4.1.'!C6</f>
        <v>2555785.9575</v>
      </c>
      <c r="K60" s="1194">
        <v>0</v>
      </c>
      <c r="L60" s="1194">
        <f>'2.2.4.1.'!D6</f>
        <v>2811364.5532500003</v>
      </c>
      <c r="M60" s="1432" t="s">
        <v>989</v>
      </c>
      <c r="N60" s="1434" t="s">
        <v>997</v>
      </c>
      <c r="O60" s="1434" t="s">
        <v>1074</v>
      </c>
      <c r="P60" s="1432" t="s">
        <v>124</v>
      </c>
    </row>
    <row r="61" spans="1:16" ht="75.75" customHeight="1">
      <c r="A61" s="1400"/>
      <c r="B61" s="1410"/>
      <c r="C61" s="1376"/>
      <c r="D61" s="1376"/>
      <c r="E61" s="1265" t="s">
        <v>66</v>
      </c>
      <c r="F61" s="1216">
        <v>374176</v>
      </c>
      <c r="G61" s="1269">
        <v>374176</v>
      </c>
      <c r="H61" s="1216"/>
      <c r="I61" s="1269">
        <v>0</v>
      </c>
      <c r="J61" s="1194">
        <f>'2.2.4.1.'!C7</f>
        <v>243548.18600000005</v>
      </c>
      <c r="K61" s="1194">
        <v>0</v>
      </c>
      <c r="L61" s="1194">
        <f>'2.2.4.1.'!D7</f>
        <v>267903.00460000004</v>
      </c>
      <c r="M61" s="1433"/>
      <c r="N61" s="1392"/>
      <c r="O61" s="1392"/>
      <c r="P61" s="1433"/>
    </row>
    <row r="62" spans="1:16" ht="170.1" customHeight="1">
      <c r="A62" s="1401"/>
      <c r="B62" s="1418"/>
      <c r="C62" s="1174" t="s">
        <v>746</v>
      </c>
      <c r="D62" s="1174" t="s">
        <v>747</v>
      </c>
      <c r="E62" s="1190" t="s">
        <v>88</v>
      </c>
      <c r="F62" s="1267">
        <v>0</v>
      </c>
      <c r="G62" s="1272">
        <f>'2.2.4.2'!C5</f>
        <v>36300</v>
      </c>
      <c r="H62" s="1216"/>
      <c r="I62" s="1216">
        <v>0</v>
      </c>
      <c r="J62" s="1216">
        <v>0</v>
      </c>
      <c r="K62" s="1216">
        <v>0</v>
      </c>
      <c r="L62" s="1216">
        <v>0</v>
      </c>
      <c r="M62" s="1108" t="s">
        <v>60</v>
      </c>
      <c r="N62" s="1274" t="s">
        <v>94</v>
      </c>
      <c r="O62" s="1170" t="s">
        <v>1081</v>
      </c>
      <c r="P62" s="1108" t="s">
        <v>95</v>
      </c>
    </row>
    <row r="63" spans="1:16" s="831" customFormat="1" ht="122.25" customHeight="1">
      <c r="A63" s="1186" t="s">
        <v>93</v>
      </c>
      <c r="B63" s="1146" t="s">
        <v>887</v>
      </c>
      <c r="C63" s="1156" t="s">
        <v>888</v>
      </c>
      <c r="D63" s="1156" t="s">
        <v>889</v>
      </c>
      <c r="E63" s="1190" t="s">
        <v>66</v>
      </c>
      <c r="F63" s="1275">
        <v>0</v>
      </c>
      <c r="G63" s="1276">
        <v>0</v>
      </c>
      <c r="H63" s="1277"/>
      <c r="I63" s="1277">
        <v>0</v>
      </c>
      <c r="J63" s="1277">
        <v>0</v>
      </c>
      <c r="K63" s="1277">
        <v>0</v>
      </c>
      <c r="L63" s="1277">
        <v>0</v>
      </c>
      <c r="M63" s="1243" t="s">
        <v>60</v>
      </c>
      <c r="N63" s="1278" t="s">
        <v>891</v>
      </c>
      <c r="O63" s="1234" t="s">
        <v>682</v>
      </c>
      <c r="P63" s="1243" t="s">
        <v>73</v>
      </c>
    </row>
    <row r="64" spans="1:16" ht="171" customHeight="1">
      <c r="A64" s="1172" t="s">
        <v>96</v>
      </c>
      <c r="B64" s="1174" t="s">
        <v>748</v>
      </c>
      <c r="C64" s="1174" t="s">
        <v>749</v>
      </c>
      <c r="D64" s="1174" t="s">
        <v>97</v>
      </c>
      <c r="E64" s="1190" t="s">
        <v>88</v>
      </c>
      <c r="F64" s="1267">
        <v>0</v>
      </c>
      <c r="G64" s="1272">
        <f>'2.2.6.'!C5</f>
        <v>33759</v>
      </c>
      <c r="H64" s="1216"/>
      <c r="I64" s="1216">
        <v>0</v>
      </c>
      <c r="J64" s="1216">
        <v>0</v>
      </c>
      <c r="K64" s="1216">
        <v>0</v>
      </c>
      <c r="L64" s="1216">
        <v>0</v>
      </c>
      <c r="M64" s="1108" t="s">
        <v>60</v>
      </c>
      <c r="N64" s="1106" t="s">
        <v>82</v>
      </c>
      <c r="O64" s="1170" t="s">
        <v>1081</v>
      </c>
      <c r="P64" s="1108" t="s">
        <v>73</v>
      </c>
    </row>
    <row r="65" spans="1:16" ht="176.1" customHeight="1">
      <c r="A65" s="1172" t="s">
        <v>98</v>
      </c>
      <c r="B65" s="1174" t="s">
        <v>750</v>
      </c>
      <c r="C65" s="1174" t="s">
        <v>751</v>
      </c>
      <c r="D65" s="1174" t="s">
        <v>752</v>
      </c>
      <c r="E65" s="1190" t="s">
        <v>88</v>
      </c>
      <c r="F65" s="1267">
        <v>18150</v>
      </c>
      <c r="G65" s="1272">
        <v>0</v>
      </c>
      <c r="H65" s="1216"/>
      <c r="I65" s="1216">
        <v>0</v>
      </c>
      <c r="J65" s="1216">
        <v>0</v>
      </c>
      <c r="K65" s="1216">
        <v>0</v>
      </c>
      <c r="L65" s="1216">
        <v>0</v>
      </c>
      <c r="M65" s="1108" t="s">
        <v>39</v>
      </c>
      <c r="N65" s="1108" t="s">
        <v>998</v>
      </c>
      <c r="O65" s="1279" t="s">
        <v>1081</v>
      </c>
      <c r="P65" s="1108" t="s">
        <v>65</v>
      </c>
    </row>
    <row r="66" spans="1:16" s="831" customFormat="1" ht="77.099999999999994" customHeight="1">
      <c r="A66" s="1155" t="s">
        <v>886</v>
      </c>
      <c r="B66" s="1155" t="s">
        <v>753</v>
      </c>
      <c r="C66" s="1153" t="s">
        <v>892</v>
      </c>
      <c r="D66" s="1172" t="s">
        <v>893</v>
      </c>
      <c r="E66" s="1173"/>
      <c r="F66" s="1280">
        <v>0</v>
      </c>
      <c r="G66" s="1275">
        <v>0</v>
      </c>
      <c r="H66" s="1275"/>
      <c r="I66" s="1275">
        <v>0</v>
      </c>
      <c r="J66" s="1275">
        <v>0</v>
      </c>
      <c r="K66" s="1275">
        <v>0</v>
      </c>
      <c r="L66" s="1275">
        <v>0</v>
      </c>
      <c r="M66" s="1234" t="s">
        <v>60</v>
      </c>
      <c r="N66" s="1234" t="s">
        <v>1082</v>
      </c>
      <c r="O66" s="1234" t="s">
        <v>682</v>
      </c>
      <c r="P66" s="830" t="s">
        <v>75</v>
      </c>
    </row>
    <row r="67" spans="1:16">
      <c r="A67" s="1394" t="s">
        <v>99</v>
      </c>
      <c r="B67" s="1394"/>
      <c r="C67" s="1394"/>
      <c r="D67" s="1394"/>
      <c r="E67" s="1281"/>
      <c r="F67" s="1282">
        <f t="shared" ref="F67:L67" si="18">SUM(F68:F76)</f>
        <v>51845041</v>
      </c>
      <c r="G67" s="1282">
        <f t="shared" si="18"/>
        <v>51845041</v>
      </c>
      <c r="H67" s="1282">
        <f t="shared" si="18"/>
        <v>0</v>
      </c>
      <c r="I67" s="1282">
        <f t="shared" si="18"/>
        <v>0</v>
      </c>
      <c r="J67" s="1282">
        <f t="shared" si="18"/>
        <v>14839079.67</v>
      </c>
      <c r="K67" s="1282">
        <f t="shared" si="18"/>
        <v>0</v>
      </c>
      <c r="L67" s="1282">
        <f t="shared" si="18"/>
        <v>15820017.970000001</v>
      </c>
      <c r="M67" s="1283"/>
      <c r="N67" s="1283"/>
      <c r="O67" s="1283"/>
      <c r="P67" s="1283"/>
    </row>
    <row r="68" spans="1:16" ht="135.75" customHeight="1">
      <c r="A68" s="1395" t="s">
        <v>100</v>
      </c>
      <c r="B68" s="1397" t="s">
        <v>754</v>
      </c>
      <c r="C68" s="1286" t="s">
        <v>755</v>
      </c>
      <c r="D68" s="1174" t="s">
        <v>894</v>
      </c>
      <c r="E68" s="1215" t="s">
        <v>21</v>
      </c>
      <c r="F68" s="1451">
        <v>12162113</v>
      </c>
      <c r="G68" s="1451">
        <v>12162113</v>
      </c>
      <c r="H68" s="1214"/>
      <c r="I68" s="1256">
        <v>0</v>
      </c>
      <c r="J68" s="1175">
        <f>'2.3.1.1.-2.3.1.3.,2.3.2.-2.3.5.'!J12</f>
        <v>141697.5</v>
      </c>
      <c r="K68" s="1175">
        <v>0</v>
      </c>
      <c r="L68" s="1175">
        <f>'2.3.1.1.-2.3.1.3.,2.3.2.-2.3.5.'!K12</f>
        <v>283395</v>
      </c>
      <c r="M68" s="1140" t="s">
        <v>989</v>
      </c>
      <c r="N68" s="1140"/>
      <c r="O68" s="430" t="s">
        <v>1074</v>
      </c>
      <c r="P68" s="1141" t="s">
        <v>899</v>
      </c>
    </row>
    <row r="69" spans="1:16" ht="129" customHeight="1">
      <c r="A69" s="1395"/>
      <c r="B69" s="1376"/>
      <c r="C69" s="1287" t="s">
        <v>756</v>
      </c>
      <c r="D69" s="1288" t="s">
        <v>895</v>
      </c>
      <c r="E69" s="1196" t="s">
        <v>21</v>
      </c>
      <c r="F69" s="1452"/>
      <c r="G69" s="1452"/>
      <c r="H69" s="1214"/>
      <c r="I69" s="1256">
        <v>0</v>
      </c>
      <c r="J69" s="1175">
        <f>'2.3.1.1.-2.3.1.3.,2.3.2.-2.3.5.'!J13</f>
        <v>156897.16</v>
      </c>
      <c r="K69" s="1175">
        <v>0</v>
      </c>
      <c r="L69" s="1175">
        <f>'2.3.1.1.-2.3.1.3.,2.3.2.-2.3.5.'!K13</f>
        <v>235345.74</v>
      </c>
      <c r="M69" s="1140" t="s">
        <v>989</v>
      </c>
      <c r="N69" s="1140"/>
      <c r="O69" s="430" t="s">
        <v>1074</v>
      </c>
      <c r="P69" s="1141" t="s">
        <v>900</v>
      </c>
    </row>
    <row r="70" spans="1:16" ht="101.25" customHeight="1">
      <c r="A70" s="1396"/>
      <c r="B70" s="1377"/>
      <c r="C70" s="1285" t="s">
        <v>101</v>
      </c>
      <c r="D70" s="1242" t="s">
        <v>896</v>
      </c>
      <c r="E70" s="1265" t="s">
        <v>21</v>
      </c>
      <c r="F70" s="1453"/>
      <c r="G70" s="1453"/>
      <c r="H70" s="1098"/>
      <c r="I70" s="1176">
        <v>0</v>
      </c>
      <c r="J70" s="1175">
        <f>'2.3.1.1.-2.3.1.3.,2.3.2.-2.3.5.'!J14</f>
        <v>153847.75</v>
      </c>
      <c r="K70" s="1165">
        <v>0</v>
      </c>
      <c r="L70" s="1175">
        <f>'2.3.1.1.-2.3.1.3.,2.3.2.-2.3.5.'!K14</f>
        <v>307371.61</v>
      </c>
      <c r="M70" s="1145" t="s">
        <v>989</v>
      </c>
      <c r="N70" s="1145"/>
      <c r="O70" s="430" t="s">
        <v>1074</v>
      </c>
      <c r="P70" s="1143" t="s">
        <v>124</v>
      </c>
    </row>
    <row r="71" spans="1:16" ht="116.25" customHeight="1">
      <c r="A71" s="1284" t="s">
        <v>102</v>
      </c>
      <c r="B71" s="1287" t="s">
        <v>757</v>
      </c>
      <c r="C71" s="1287" t="s">
        <v>759</v>
      </c>
      <c r="D71" s="1289" t="s">
        <v>897</v>
      </c>
      <c r="E71" s="1265" t="s">
        <v>21</v>
      </c>
      <c r="F71" s="1214">
        <v>0</v>
      </c>
      <c r="G71" s="1214">
        <v>0</v>
      </c>
      <c r="H71" s="1214"/>
      <c r="I71" s="1256">
        <v>0</v>
      </c>
      <c r="J71" s="1175">
        <f>'2.3.1.1.-2.3.1.3.,2.3.2.-2.3.5.'!J15</f>
        <v>607268.3600000001</v>
      </c>
      <c r="K71" s="1175">
        <v>0</v>
      </c>
      <c r="L71" s="1175">
        <f>'2.3.1.1.-2.3.1.3.,2.3.2.-2.3.5.'!K15</f>
        <v>1214536.7200000002</v>
      </c>
      <c r="M71" s="1140" t="s">
        <v>989</v>
      </c>
      <c r="N71" s="1140"/>
      <c r="O71" s="430" t="s">
        <v>1074</v>
      </c>
      <c r="P71" s="1141" t="s">
        <v>901</v>
      </c>
    </row>
    <row r="72" spans="1:16" ht="51" customHeight="1">
      <c r="A72" s="1182" t="s">
        <v>103</v>
      </c>
      <c r="B72" s="1290" t="s">
        <v>106</v>
      </c>
      <c r="C72" s="1290" t="s">
        <v>761</v>
      </c>
      <c r="D72" s="1290" t="s">
        <v>762</v>
      </c>
      <c r="E72" s="1265" t="s">
        <v>21</v>
      </c>
      <c r="F72" s="1176">
        <v>38320409</v>
      </c>
      <c r="G72" s="1176">
        <v>38320409</v>
      </c>
      <c r="H72" s="1098"/>
      <c r="I72" s="1176">
        <v>0</v>
      </c>
      <c r="J72" s="1175">
        <f>'2.3.1.1.-2.3.1.3.,2.3.2.-2.3.5.'!J16</f>
        <v>12771914.4</v>
      </c>
      <c r="K72" s="1165">
        <v>0</v>
      </c>
      <c r="L72" s="1175">
        <f>'2.3.1.1.-2.3.1.3.,2.3.2.-2.3.5.'!K16</f>
        <v>12771914.4</v>
      </c>
      <c r="M72" s="1145" t="s">
        <v>989</v>
      </c>
      <c r="N72" s="1145"/>
      <c r="O72" s="1185" t="s">
        <v>1074</v>
      </c>
      <c r="P72" s="1177" t="s">
        <v>899</v>
      </c>
    </row>
    <row r="73" spans="1:16" ht="94.5" customHeight="1">
      <c r="A73" s="1454" t="s">
        <v>104</v>
      </c>
      <c r="B73" s="1455" t="s">
        <v>763</v>
      </c>
      <c r="C73" s="1455" t="s">
        <v>764</v>
      </c>
      <c r="D73" s="1455" t="s">
        <v>765</v>
      </c>
      <c r="E73" s="1190" t="s">
        <v>21</v>
      </c>
      <c r="F73" s="1100">
        <v>0</v>
      </c>
      <c r="G73" s="1100">
        <v>0</v>
      </c>
      <c r="H73" s="1291"/>
      <c r="I73" s="1100">
        <v>0</v>
      </c>
      <c r="J73" s="1175">
        <f>'2.3.1.1.-2.3.1.3.,2.3.2.-2.3.5.'!J17</f>
        <v>232489.5</v>
      </c>
      <c r="K73" s="1178">
        <v>0</v>
      </c>
      <c r="L73" s="1175">
        <f>'2.3.1.1.-2.3.1.3.,2.3.2.-2.3.5.'!K17</f>
        <v>232489.5</v>
      </c>
      <c r="M73" s="1412" t="s">
        <v>989</v>
      </c>
      <c r="N73" s="1412" t="s">
        <v>57</v>
      </c>
      <c r="O73" s="1463" t="s">
        <v>1074</v>
      </c>
      <c r="P73" s="1468" t="s">
        <v>898</v>
      </c>
    </row>
    <row r="74" spans="1:16" ht="54.6" customHeight="1">
      <c r="A74" s="1420"/>
      <c r="B74" s="1431"/>
      <c r="C74" s="1431"/>
      <c r="D74" s="1431"/>
      <c r="E74" s="1180" t="s">
        <v>70</v>
      </c>
      <c r="F74" s="1456">
        <v>1362519</v>
      </c>
      <c r="G74" s="1456">
        <v>1362519</v>
      </c>
      <c r="H74" s="1292"/>
      <c r="I74" s="1293">
        <v>0</v>
      </c>
      <c r="J74" s="1175">
        <v>0</v>
      </c>
      <c r="K74" s="1181">
        <v>0</v>
      </c>
      <c r="L74" s="1175">
        <v>0</v>
      </c>
      <c r="M74" s="1415"/>
      <c r="N74" s="1415"/>
      <c r="O74" s="1464"/>
      <c r="P74" s="1415"/>
    </row>
    <row r="75" spans="1:16" ht="54.6" customHeight="1">
      <c r="A75" s="1396" t="s">
        <v>105</v>
      </c>
      <c r="B75" s="1410" t="s">
        <v>766</v>
      </c>
      <c r="C75" s="1410" t="s">
        <v>767</v>
      </c>
      <c r="D75" s="1410" t="s">
        <v>768</v>
      </c>
      <c r="E75" s="1183" t="s">
        <v>70</v>
      </c>
      <c r="F75" s="1456"/>
      <c r="G75" s="1456"/>
      <c r="H75" s="1292"/>
      <c r="I75" s="1098">
        <v>0</v>
      </c>
      <c r="J75" s="1175">
        <v>0</v>
      </c>
      <c r="K75" s="1101">
        <v>0</v>
      </c>
      <c r="L75" s="1175">
        <v>0</v>
      </c>
      <c r="M75" s="1414" t="s">
        <v>989</v>
      </c>
      <c r="N75" s="1406" t="s">
        <v>57</v>
      </c>
      <c r="O75" s="1406" t="s">
        <v>1074</v>
      </c>
      <c r="P75" s="1414" t="s">
        <v>73</v>
      </c>
    </row>
    <row r="76" spans="1:16" ht="54.6" customHeight="1">
      <c r="A76" s="1462"/>
      <c r="B76" s="1411"/>
      <c r="C76" s="1411"/>
      <c r="D76" s="1411"/>
      <c r="E76" s="1226" t="s">
        <v>21</v>
      </c>
      <c r="F76" s="1294">
        <v>0</v>
      </c>
      <c r="G76" s="1294">
        <v>0</v>
      </c>
      <c r="H76" s="1291"/>
      <c r="I76" s="1294">
        <v>0</v>
      </c>
      <c r="J76" s="1165">
        <f>'2.3.1.1.-2.3.1.3.,2.3.2.-2.3.5.'!J18</f>
        <v>774965</v>
      </c>
      <c r="K76" s="1184">
        <v>0</v>
      </c>
      <c r="L76" s="1165">
        <f>'2.3.1.1.-2.3.1.3.,2.3.2.-2.3.5.'!K18</f>
        <v>774965</v>
      </c>
      <c r="M76" s="1469"/>
      <c r="N76" s="1407"/>
      <c r="O76" s="1407"/>
      <c r="P76" s="1472"/>
    </row>
    <row r="77" spans="1:16" ht="75.75" customHeight="1">
      <c r="A77" s="1186" t="s">
        <v>963</v>
      </c>
      <c r="B77" s="1172" t="s">
        <v>965</v>
      </c>
      <c r="C77" s="1174" t="s">
        <v>966</v>
      </c>
      <c r="D77" s="1172" t="s">
        <v>964</v>
      </c>
      <c r="E77" s="476"/>
      <c r="F77" s="1100">
        <v>0</v>
      </c>
      <c r="G77" s="1100">
        <v>0</v>
      </c>
      <c r="H77" s="1100"/>
      <c r="I77" s="1100">
        <v>0</v>
      </c>
      <c r="J77" s="1187">
        <v>0</v>
      </c>
      <c r="K77" s="1178">
        <v>0</v>
      </c>
      <c r="L77" s="1187">
        <v>0</v>
      </c>
      <c r="M77" s="1150" t="s">
        <v>60</v>
      </c>
      <c r="N77" s="1170" t="s">
        <v>999</v>
      </c>
      <c r="O77" s="430" t="s">
        <v>682</v>
      </c>
      <c r="P77" s="1150" t="s">
        <v>95</v>
      </c>
    </row>
    <row r="78" spans="1:16">
      <c r="A78" s="1394" t="s">
        <v>835</v>
      </c>
      <c r="B78" s="1394"/>
      <c r="C78" s="1394"/>
      <c r="D78" s="1394"/>
      <c r="E78" s="1295"/>
      <c r="F78" s="1296">
        <f t="shared" ref="F78:L78" si="19">SUM(F79:F94)</f>
        <v>31985769.399999999</v>
      </c>
      <c r="G78" s="1296">
        <f t="shared" si="19"/>
        <v>32568384.399999999</v>
      </c>
      <c r="H78" s="1296">
        <f t="shared" si="19"/>
        <v>0</v>
      </c>
      <c r="I78" s="1296">
        <f t="shared" si="19"/>
        <v>0</v>
      </c>
      <c r="J78" s="1188">
        <f>SUM(J79:J94)</f>
        <v>17039958.9608</v>
      </c>
      <c r="K78" s="1188">
        <f t="shared" si="19"/>
        <v>0</v>
      </c>
      <c r="L78" s="1188">
        <f t="shared" si="19"/>
        <v>20715869.107919998</v>
      </c>
      <c r="M78" s="1189"/>
      <c r="N78" s="1105"/>
      <c r="O78" s="1297"/>
      <c r="P78" s="1298"/>
    </row>
    <row r="79" spans="1:16" s="1192" customFormat="1" ht="174" customHeight="1">
      <c r="A79" s="1190" t="s">
        <v>108</v>
      </c>
      <c r="B79" s="1190" t="s">
        <v>109</v>
      </c>
      <c r="C79" s="1190" t="s">
        <v>707</v>
      </c>
      <c r="D79" s="1190" t="s">
        <v>708</v>
      </c>
      <c r="E79" s="1190" t="s">
        <v>88</v>
      </c>
      <c r="F79" s="1147">
        <v>0</v>
      </c>
      <c r="G79" s="1191">
        <f>'2.4.1'!C5</f>
        <v>582615</v>
      </c>
      <c r="H79" s="1021"/>
      <c r="I79" s="1021">
        <v>0</v>
      </c>
      <c r="J79" s="1021">
        <v>0</v>
      </c>
      <c r="K79" s="1021">
        <v>0</v>
      </c>
      <c r="L79" s="1021">
        <v>0</v>
      </c>
      <c r="M79" s="1141" t="s">
        <v>60</v>
      </c>
      <c r="N79" s="1072" t="s">
        <v>705</v>
      </c>
      <c r="O79" s="1279" t="s">
        <v>1081</v>
      </c>
      <c r="P79" s="1148" t="s">
        <v>67</v>
      </c>
    </row>
    <row r="80" spans="1:16" ht="70.5" customHeight="1">
      <c r="A80" s="1416" t="s">
        <v>110</v>
      </c>
      <c r="B80" s="1423" t="s">
        <v>1083</v>
      </c>
      <c r="C80" s="1193" t="s">
        <v>111</v>
      </c>
      <c r="D80" s="1160" t="s">
        <v>774</v>
      </c>
      <c r="E80" s="1299" t="s">
        <v>112</v>
      </c>
      <c r="F80" s="1271">
        <v>0</v>
      </c>
      <c r="G80" s="1269">
        <v>0</v>
      </c>
      <c r="H80" s="1269"/>
      <c r="I80" s="1269">
        <v>0</v>
      </c>
      <c r="J80" s="1194">
        <v>0</v>
      </c>
      <c r="K80" s="1194">
        <v>0</v>
      </c>
      <c r="L80" s="1194">
        <v>0</v>
      </c>
      <c r="M80" s="1141" t="s">
        <v>1000</v>
      </c>
      <c r="N80" s="350" t="s">
        <v>1001</v>
      </c>
      <c r="O80" s="1108" t="s">
        <v>682</v>
      </c>
      <c r="P80" s="322" t="s">
        <v>67</v>
      </c>
    </row>
    <row r="81" spans="1:16" ht="68.25" customHeight="1">
      <c r="A81" s="1422"/>
      <c r="B81" s="1424"/>
      <c r="C81" s="1195" t="s">
        <v>113</v>
      </c>
      <c r="D81" s="1172" t="s">
        <v>775</v>
      </c>
      <c r="E81" s="1301" t="s">
        <v>112</v>
      </c>
      <c r="F81" s="1269">
        <v>0</v>
      </c>
      <c r="G81" s="1269">
        <v>0</v>
      </c>
      <c r="H81" s="1269"/>
      <c r="I81" s="1269">
        <v>0</v>
      </c>
      <c r="J81" s="1194">
        <v>0</v>
      </c>
      <c r="K81" s="1194">
        <v>0</v>
      </c>
      <c r="L81" s="1194">
        <v>0</v>
      </c>
      <c r="M81" s="1141" t="s">
        <v>1002</v>
      </c>
      <c r="N81" s="350" t="s">
        <v>1003</v>
      </c>
      <c r="O81" s="1108" t="s">
        <v>682</v>
      </c>
      <c r="P81" s="350" t="s">
        <v>67</v>
      </c>
    </row>
    <row r="82" spans="1:16" ht="67.5" customHeight="1">
      <c r="A82" s="1422"/>
      <c r="B82" s="1424"/>
      <c r="C82" s="1195" t="s">
        <v>773</v>
      </c>
      <c r="D82" s="1172" t="s">
        <v>776</v>
      </c>
      <c r="E82" s="1301" t="s">
        <v>112</v>
      </c>
      <c r="F82" s="1269">
        <v>0</v>
      </c>
      <c r="G82" s="1269">
        <v>0</v>
      </c>
      <c r="H82" s="1269"/>
      <c r="I82" s="1269">
        <v>0</v>
      </c>
      <c r="J82" s="1194">
        <v>0</v>
      </c>
      <c r="K82" s="1194">
        <v>0</v>
      </c>
      <c r="L82" s="1194">
        <v>0</v>
      </c>
      <c r="M82" s="1141" t="s">
        <v>1000</v>
      </c>
      <c r="N82" s="334" t="s">
        <v>1003</v>
      </c>
      <c r="O82" s="1170" t="s">
        <v>682</v>
      </c>
      <c r="P82" s="450" t="s">
        <v>67</v>
      </c>
    </row>
    <row r="83" spans="1:16" s="831" customFormat="1" ht="87" customHeight="1">
      <c r="A83" s="1396" t="s">
        <v>114</v>
      </c>
      <c r="B83" s="1397" t="s">
        <v>777</v>
      </c>
      <c r="C83" s="1302" t="s">
        <v>115</v>
      </c>
      <c r="D83" s="1302" t="s">
        <v>116</v>
      </c>
      <c r="E83" s="1303"/>
      <c r="F83" s="1159">
        <v>0</v>
      </c>
      <c r="G83" s="1159">
        <v>0</v>
      </c>
      <c r="H83" s="1159"/>
      <c r="I83" s="1159">
        <v>0</v>
      </c>
      <c r="J83" s="1151">
        <v>0</v>
      </c>
      <c r="K83" s="1151">
        <v>0</v>
      </c>
      <c r="L83" s="1151">
        <v>0</v>
      </c>
      <c r="M83" s="1073" t="s">
        <v>989</v>
      </c>
      <c r="N83" s="828" t="s">
        <v>117</v>
      </c>
      <c r="O83" s="1234" t="s">
        <v>682</v>
      </c>
      <c r="P83" s="1304" t="s">
        <v>78</v>
      </c>
    </row>
    <row r="84" spans="1:16" s="831" customFormat="1" ht="53.25" customHeight="1">
      <c r="A84" s="1374"/>
      <c r="B84" s="1376"/>
      <c r="C84" s="1397" t="s">
        <v>778</v>
      </c>
      <c r="D84" s="1397" t="s">
        <v>902</v>
      </c>
      <c r="E84" s="1265" t="s">
        <v>70</v>
      </c>
      <c r="F84" s="1107">
        <v>1476006</v>
      </c>
      <c r="G84" s="1107">
        <v>1476006</v>
      </c>
      <c r="H84" s="1107"/>
      <c r="I84" s="1107">
        <v>0</v>
      </c>
      <c r="J84" s="1021">
        <f>'2.4.3.1.-2.4.3.2.'!D5</f>
        <v>5174226.6720000003</v>
      </c>
      <c r="K84" s="1021">
        <v>0</v>
      </c>
      <c r="L84" s="1021">
        <f>'2.4.3.1.-2.4.3.2.'!E5</f>
        <v>6039196</v>
      </c>
      <c r="M84" s="1465" t="s">
        <v>989</v>
      </c>
      <c r="N84" s="1404" t="s">
        <v>117</v>
      </c>
      <c r="O84" s="1406" t="s">
        <v>1074</v>
      </c>
      <c r="P84" s="1408" t="s">
        <v>124</v>
      </c>
    </row>
    <row r="85" spans="1:16" s="831" customFormat="1" ht="65.25" customHeight="1">
      <c r="A85" s="1420"/>
      <c r="B85" s="1377"/>
      <c r="C85" s="1377"/>
      <c r="D85" s="1377"/>
      <c r="E85" s="1265" t="s">
        <v>66</v>
      </c>
      <c r="F85" s="1107">
        <v>0</v>
      </c>
      <c r="G85" s="1107">
        <v>0</v>
      </c>
      <c r="H85" s="1107"/>
      <c r="I85" s="1107">
        <v>0</v>
      </c>
      <c r="J85" s="1021">
        <f>'2.4.3.1.-2.4.3.2.'!D6</f>
        <v>1580720.5859999999</v>
      </c>
      <c r="K85" s="1021">
        <v>0</v>
      </c>
      <c r="L85" s="1021">
        <f>'2.4.3.1.-2.4.3.2.'!E6</f>
        <v>1831589.5999999999</v>
      </c>
      <c r="M85" s="1449"/>
      <c r="N85" s="1405"/>
      <c r="O85" s="1407"/>
      <c r="P85" s="1409"/>
    </row>
    <row r="86" spans="1:16" ht="57.75" customHeight="1">
      <c r="A86" s="1244" t="s">
        <v>119</v>
      </c>
      <c r="B86" s="1225" t="s">
        <v>780</v>
      </c>
      <c r="C86" s="1242" t="s">
        <v>781</v>
      </c>
      <c r="D86" s="1305" t="s">
        <v>782</v>
      </c>
      <c r="E86" s="1183" t="s">
        <v>70</v>
      </c>
      <c r="F86" s="1100">
        <v>0</v>
      </c>
      <c r="G86" s="1100">
        <v>0</v>
      </c>
      <c r="H86" s="1306"/>
      <c r="I86" s="1100">
        <v>0</v>
      </c>
      <c r="J86" s="1178">
        <f>'2.4.4.'!D5</f>
        <v>247567.5128</v>
      </c>
      <c r="K86" s="1178">
        <v>0</v>
      </c>
      <c r="L86" s="1307">
        <f>'2.4.4.'!E5</f>
        <v>346594.51792000001</v>
      </c>
      <c r="M86" s="1145" t="s">
        <v>989</v>
      </c>
      <c r="N86" s="1108" t="s">
        <v>117</v>
      </c>
      <c r="O86" s="323" t="s">
        <v>1075</v>
      </c>
      <c r="P86" s="1143" t="s">
        <v>124</v>
      </c>
    </row>
    <row r="87" spans="1:16" ht="135.6" customHeight="1">
      <c r="A87" s="1373" t="s">
        <v>120</v>
      </c>
      <c r="B87" s="1418" t="s">
        <v>784</v>
      </c>
      <c r="C87" s="1156" t="s">
        <v>785</v>
      </c>
      <c r="D87" s="1156" t="s">
        <v>914</v>
      </c>
      <c r="E87" s="1190" t="s">
        <v>790</v>
      </c>
      <c r="F87" s="1308">
        <v>8086606</v>
      </c>
      <c r="G87" s="1308">
        <f>F87</f>
        <v>8086606</v>
      </c>
      <c r="H87" s="1291"/>
      <c r="I87" s="1308">
        <v>0</v>
      </c>
      <c r="J87" s="1309">
        <f>'2.4.5.1. '!C6</f>
        <v>3923560.4800000004</v>
      </c>
      <c r="K87" s="1309">
        <v>0</v>
      </c>
      <c r="L87" s="1178">
        <f>SUM(J87)</f>
        <v>3923560.4800000004</v>
      </c>
      <c r="M87" s="1150" t="s">
        <v>989</v>
      </c>
      <c r="N87" s="1170" t="s">
        <v>903</v>
      </c>
      <c r="O87" s="430" t="s">
        <v>1076</v>
      </c>
      <c r="P87" s="1391" t="s">
        <v>124</v>
      </c>
    </row>
    <row r="88" spans="1:16" ht="63.6" customHeight="1">
      <c r="A88" s="1425"/>
      <c r="B88" s="1426"/>
      <c r="C88" s="1310" t="s">
        <v>786</v>
      </c>
      <c r="D88" s="1153" t="s">
        <v>787</v>
      </c>
      <c r="E88" s="1109" t="s">
        <v>70</v>
      </c>
      <c r="F88" s="1100">
        <v>18885327</v>
      </c>
      <c r="G88" s="1100">
        <f>F88</f>
        <v>18885327</v>
      </c>
      <c r="H88" s="1291"/>
      <c r="I88" s="1220">
        <v>0</v>
      </c>
      <c r="J88" s="1147">
        <f>'2.4.5.2. '!C6</f>
        <v>3948743.9099999997</v>
      </c>
      <c r="K88" s="1147">
        <v>0</v>
      </c>
      <c r="L88" s="1311">
        <f>SUM(J88)</f>
        <v>3948743.9099999997</v>
      </c>
      <c r="M88" s="1312" t="s">
        <v>989</v>
      </c>
      <c r="N88" s="1170" t="s">
        <v>117</v>
      </c>
      <c r="O88" s="1313" t="s">
        <v>1076</v>
      </c>
      <c r="P88" s="1392"/>
    </row>
    <row r="89" spans="1:16" ht="147.75" customHeight="1">
      <c r="A89" s="1244" t="s">
        <v>121</v>
      </c>
      <c r="B89" s="1218" t="s">
        <v>795</v>
      </c>
      <c r="C89" s="845" t="s">
        <v>796</v>
      </c>
      <c r="D89" s="1218" t="s">
        <v>928</v>
      </c>
      <c r="E89" s="1219" t="str">
        <f>'2.4.6'!A6</f>
        <v>33.18.00 Plānveida stacionāro veselības aprūpes pakalpojumu nodrošināšana</v>
      </c>
      <c r="F89" s="1293">
        <v>3537830.4</v>
      </c>
      <c r="G89" s="1293">
        <v>3537830.4</v>
      </c>
      <c r="H89" s="1214"/>
      <c r="I89" s="1293">
        <v>0</v>
      </c>
      <c r="J89" s="1181">
        <f>'2.4.6'!C6</f>
        <v>1672783.7999999998</v>
      </c>
      <c r="K89" s="1181">
        <v>0</v>
      </c>
      <c r="L89" s="1101">
        <f>'2.4.6'!D6</f>
        <v>3764561.5999999996</v>
      </c>
      <c r="M89" s="1145" t="s">
        <v>989</v>
      </c>
      <c r="N89" s="1257" t="s">
        <v>122</v>
      </c>
      <c r="O89" s="365" t="s">
        <v>1076</v>
      </c>
      <c r="P89" s="1108" t="s">
        <v>124</v>
      </c>
    </row>
    <row r="90" spans="1:16" ht="85.5" customHeight="1">
      <c r="A90" s="1314" t="s">
        <v>123</v>
      </c>
      <c r="B90" s="1156" t="s">
        <v>798</v>
      </c>
      <c r="C90" s="1156" t="s">
        <v>973</v>
      </c>
      <c r="D90" s="1156" t="s">
        <v>799</v>
      </c>
      <c r="E90" s="1190" t="str">
        <f>'2.4.7.'!A6</f>
        <v>33.18.00 Plānveida stacionāro veselības aprūpes pakalpojumu nodrošināšana</v>
      </c>
      <c r="F90" s="1100">
        <v>0</v>
      </c>
      <c r="G90" s="1100">
        <v>0</v>
      </c>
      <c r="H90" s="1291"/>
      <c r="I90" s="1100">
        <v>0</v>
      </c>
      <c r="J90" s="1178">
        <f>'2.4.7.'!C6</f>
        <v>492356</v>
      </c>
      <c r="K90" s="1178">
        <v>0</v>
      </c>
      <c r="L90" s="1178">
        <f>'2.4.7.'!D6</f>
        <v>861623</v>
      </c>
      <c r="M90" s="1150" t="s">
        <v>989</v>
      </c>
      <c r="N90" s="430" t="s">
        <v>117</v>
      </c>
      <c r="O90" s="430" t="s">
        <v>1076</v>
      </c>
      <c r="P90" s="1170" t="s">
        <v>124</v>
      </c>
    </row>
    <row r="91" spans="1:16" ht="117" customHeight="1">
      <c r="A91" s="1222" t="s">
        <v>125</v>
      </c>
      <c r="B91" s="1288" t="s">
        <v>802</v>
      </c>
      <c r="C91" s="1076" t="s">
        <v>803</v>
      </c>
      <c r="D91" s="1218" t="s">
        <v>804</v>
      </c>
      <c r="E91" s="1223" t="s">
        <v>112</v>
      </c>
      <c r="F91" s="1293">
        <v>0</v>
      </c>
      <c r="G91" s="1293">
        <v>0</v>
      </c>
      <c r="H91" s="1098"/>
      <c r="I91" s="1293">
        <v>0</v>
      </c>
      <c r="J91" s="1181">
        <v>0</v>
      </c>
      <c r="K91" s="1181">
        <v>0</v>
      </c>
      <c r="L91" s="1181">
        <v>0</v>
      </c>
      <c r="M91" s="1152" t="s">
        <v>994</v>
      </c>
      <c r="N91" s="1257" t="s">
        <v>721</v>
      </c>
      <c r="O91" s="1315" t="s">
        <v>682</v>
      </c>
      <c r="P91" s="1248" t="s">
        <v>904</v>
      </c>
    </row>
    <row r="92" spans="1:16" ht="99" customHeight="1">
      <c r="A92" s="1300" t="s">
        <v>126</v>
      </c>
      <c r="B92" s="1237" t="s">
        <v>805</v>
      </c>
      <c r="C92" s="1075" t="s">
        <v>806</v>
      </c>
      <c r="D92" s="1074" t="s">
        <v>807</v>
      </c>
      <c r="E92" s="1265" t="s">
        <v>112</v>
      </c>
      <c r="F92" s="1098">
        <v>0</v>
      </c>
      <c r="G92" s="1098">
        <v>0</v>
      </c>
      <c r="H92" s="1098"/>
      <c r="I92" s="1098">
        <v>0</v>
      </c>
      <c r="J92" s="1098">
        <v>0</v>
      </c>
      <c r="K92" s="1098">
        <v>0</v>
      </c>
      <c r="L92" s="1098">
        <v>0</v>
      </c>
      <c r="M92" s="323" t="s">
        <v>60</v>
      </c>
      <c r="N92" s="323" t="s">
        <v>1004</v>
      </c>
      <c r="O92" s="1170" t="s">
        <v>682</v>
      </c>
      <c r="P92" s="1170" t="s">
        <v>95</v>
      </c>
    </row>
    <row r="93" spans="1:16" s="424" customFormat="1" ht="87" customHeight="1">
      <c r="A93" s="1241" t="s">
        <v>127</v>
      </c>
      <c r="B93" s="1218" t="s">
        <v>128</v>
      </c>
      <c r="C93" s="1225" t="s">
        <v>808</v>
      </c>
      <c r="D93" s="1225" t="s">
        <v>809</v>
      </c>
      <c r="E93" s="1265" t="s">
        <v>112</v>
      </c>
      <c r="F93" s="1216">
        <v>0</v>
      </c>
      <c r="G93" s="1216">
        <v>0</v>
      </c>
      <c r="H93" s="1216"/>
      <c r="I93" s="1216">
        <v>0</v>
      </c>
      <c r="J93" s="1216">
        <v>0</v>
      </c>
      <c r="K93" s="1216">
        <v>0</v>
      </c>
      <c r="L93" s="1216">
        <v>0</v>
      </c>
      <c r="M93" s="1108" t="s">
        <v>60</v>
      </c>
      <c r="N93" s="1108" t="s">
        <v>1005</v>
      </c>
      <c r="O93" s="1316" t="s">
        <v>682</v>
      </c>
      <c r="P93" s="1170" t="s">
        <v>124</v>
      </c>
    </row>
    <row r="94" spans="1:16" s="1319" customFormat="1" ht="102" customHeight="1">
      <c r="A94" s="1317" t="s">
        <v>129</v>
      </c>
      <c r="B94" s="1287" t="s">
        <v>810</v>
      </c>
      <c r="C94" s="1287" t="s">
        <v>811</v>
      </c>
      <c r="D94" s="1287" t="s">
        <v>812</v>
      </c>
      <c r="E94" s="1196"/>
      <c r="F94" s="1318">
        <v>0</v>
      </c>
      <c r="G94" s="1318">
        <v>0</v>
      </c>
      <c r="H94" s="1318"/>
      <c r="I94" s="1318">
        <v>0</v>
      </c>
      <c r="J94" s="1318">
        <v>0</v>
      </c>
      <c r="K94" s="1318">
        <v>0</v>
      </c>
      <c r="L94" s="1318">
        <v>0</v>
      </c>
      <c r="M94" s="1316" t="s">
        <v>994</v>
      </c>
      <c r="N94" s="1197" t="s">
        <v>1006</v>
      </c>
      <c r="O94" s="1316" t="s">
        <v>682</v>
      </c>
      <c r="P94" s="1234" t="s">
        <v>95</v>
      </c>
    </row>
    <row r="95" spans="1:16" s="1327" customFormat="1">
      <c r="A95" s="1198" t="s">
        <v>833</v>
      </c>
      <c r="B95" s="1320"/>
      <c r="C95" s="1320"/>
      <c r="D95" s="1320"/>
      <c r="E95" s="1321"/>
      <c r="F95" s="1322">
        <f t="shared" ref="F95:L95" si="20">SUM(F96:F97)</f>
        <v>0</v>
      </c>
      <c r="G95" s="1322">
        <f t="shared" si="20"/>
        <v>0</v>
      </c>
      <c r="H95" s="1322">
        <f t="shared" si="20"/>
        <v>0</v>
      </c>
      <c r="I95" s="1322">
        <f t="shared" si="20"/>
        <v>0</v>
      </c>
      <c r="J95" s="1322">
        <f t="shared" si="20"/>
        <v>0</v>
      </c>
      <c r="K95" s="1322">
        <f t="shared" si="20"/>
        <v>0</v>
      </c>
      <c r="L95" s="1322">
        <f t="shared" si="20"/>
        <v>0</v>
      </c>
      <c r="M95" s="1323"/>
      <c r="N95" s="1324"/>
      <c r="O95" s="1325"/>
      <c r="P95" s="1326"/>
    </row>
    <row r="96" spans="1:16" s="1327" customFormat="1" ht="66.75" customHeight="1">
      <c r="A96" s="1303" t="s">
        <v>131</v>
      </c>
      <c r="B96" s="1328" t="s">
        <v>132</v>
      </c>
      <c r="C96" s="1329" t="s">
        <v>813</v>
      </c>
      <c r="D96" s="1328" t="s">
        <v>814</v>
      </c>
      <c r="E96" s="1196"/>
      <c r="F96" s="1330">
        <v>0</v>
      </c>
      <c r="G96" s="1330">
        <v>0</v>
      </c>
      <c r="H96" s="1330"/>
      <c r="I96" s="1330">
        <v>0</v>
      </c>
      <c r="J96" s="1330">
        <v>0</v>
      </c>
      <c r="K96" s="1330">
        <v>0</v>
      </c>
      <c r="L96" s="1331">
        <v>0</v>
      </c>
      <c r="M96" s="1149" t="s">
        <v>60</v>
      </c>
      <c r="N96" s="1149" t="s">
        <v>1084</v>
      </c>
      <c r="O96" s="1170" t="s">
        <v>682</v>
      </c>
      <c r="P96" s="1149" t="s">
        <v>75</v>
      </c>
    </row>
    <row r="97" spans="1:16" s="1327" customFormat="1" ht="75" customHeight="1">
      <c r="A97" s="1303" t="s">
        <v>133</v>
      </c>
      <c r="B97" s="1328" t="s">
        <v>815</v>
      </c>
      <c r="C97" s="1328" t="s">
        <v>974</v>
      </c>
      <c r="D97" s="1328" t="s">
        <v>816</v>
      </c>
      <c r="E97" s="1196"/>
      <c r="F97" s="1330">
        <v>0</v>
      </c>
      <c r="G97" s="1330">
        <v>0</v>
      </c>
      <c r="H97" s="1330"/>
      <c r="I97" s="1330">
        <v>0</v>
      </c>
      <c r="J97" s="1330">
        <v>0</v>
      </c>
      <c r="K97" s="1330">
        <v>0</v>
      </c>
      <c r="L97" s="1331">
        <v>0</v>
      </c>
      <c r="M97" s="1149" t="s">
        <v>60</v>
      </c>
      <c r="N97" s="1149" t="s">
        <v>1085</v>
      </c>
      <c r="O97" s="1170" t="s">
        <v>682</v>
      </c>
      <c r="P97" s="1148" t="s">
        <v>75</v>
      </c>
    </row>
    <row r="98" spans="1:16" s="1327" customFormat="1">
      <c r="A98" s="1198" t="s">
        <v>834</v>
      </c>
      <c r="B98" s="1199"/>
      <c r="C98" s="1332"/>
      <c r="D98" s="1332"/>
      <c r="E98" s="1333"/>
      <c r="F98" s="1334">
        <f>SUM(F99:F101)</f>
        <v>0</v>
      </c>
      <c r="G98" s="1334">
        <f>SUM(G99:G101)</f>
        <v>4235</v>
      </c>
      <c r="H98" s="1334">
        <f t="shared" ref="H98" si="21">SUM(H99:H101)</f>
        <v>0</v>
      </c>
      <c r="I98" s="1334">
        <f>SUM(I99:I101)</f>
        <v>0</v>
      </c>
      <c r="J98" s="1334">
        <f>SUM(J99:J101)</f>
        <v>0</v>
      </c>
      <c r="K98" s="1334">
        <f>SUM(K99:K101)</f>
        <v>0</v>
      </c>
      <c r="L98" s="1334">
        <f>SUM(L99:L101)</f>
        <v>0</v>
      </c>
      <c r="M98" s="1335"/>
      <c r="N98" s="1335"/>
      <c r="O98" s="1335"/>
      <c r="P98" s="1336"/>
    </row>
    <row r="99" spans="1:16" s="1327" customFormat="1" ht="73.5" customHeight="1">
      <c r="A99" s="1457" t="s">
        <v>134</v>
      </c>
      <c r="B99" s="1459" t="s">
        <v>135</v>
      </c>
      <c r="C99" s="1461" t="s">
        <v>136</v>
      </c>
      <c r="D99" s="1337" t="s">
        <v>817</v>
      </c>
      <c r="E99" s="1226" t="s">
        <v>681</v>
      </c>
      <c r="F99" s="1338">
        <v>0</v>
      </c>
      <c r="G99" s="1330">
        <v>0</v>
      </c>
      <c r="H99" s="1330"/>
      <c r="I99" s="1330">
        <v>0</v>
      </c>
      <c r="J99" s="1330">
        <v>0</v>
      </c>
      <c r="K99" s="1330">
        <v>0</v>
      </c>
      <c r="L99" s="1330">
        <v>0</v>
      </c>
      <c r="M99" s="1200" t="s">
        <v>1007</v>
      </c>
      <c r="N99" s="1170" t="s">
        <v>1086</v>
      </c>
      <c r="O99" s="1339" t="s">
        <v>682</v>
      </c>
      <c r="P99" s="1144" t="s">
        <v>75</v>
      </c>
    </row>
    <row r="100" spans="1:16" s="1327" customFormat="1" ht="179.1" customHeight="1">
      <c r="A100" s="1458"/>
      <c r="B100" s="1460"/>
      <c r="C100" s="1460"/>
      <c r="D100" s="1340" t="s">
        <v>818</v>
      </c>
      <c r="E100" s="1190" t="s">
        <v>88</v>
      </c>
      <c r="F100" s="1341">
        <v>0</v>
      </c>
      <c r="G100" s="1342">
        <v>4235</v>
      </c>
      <c r="H100" s="1330"/>
      <c r="I100" s="1330">
        <v>0</v>
      </c>
      <c r="J100" s="1330">
        <v>0</v>
      </c>
      <c r="K100" s="1330">
        <v>0</v>
      </c>
      <c r="L100" s="1330">
        <v>0</v>
      </c>
      <c r="M100" s="1343" t="s">
        <v>1078</v>
      </c>
      <c r="N100" s="1170" t="s">
        <v>1087</v>
      </c>
      <c r="O100" s="1279" t="s">
        <v>1081</v>
      </c>
      <c r="P100" s="430" t="s">
        <v>75</v>
      </c>
    </row>
    <row r="101" spans="1:16" s="1327" customFormat="1" ht="120.75" customHeight="1">
      <c r="A101" s="1344" t="s">
        <v>137</v>
      </c>
      <c r="B101" s="1223" t="s">
        <v>138</v>
      </c>
      <c r="C101" s="1345" t="s">
        <v>139</v>
      </c>
      <c r="D101" s="1345" t="s">
        <v>1077</v>
      </c>
      <c r="E101" s="1173" t="s">
        <v>681</v>
      </c>
      <c r="F101" s="1346">
        <v>0</v>
      </c>
      <c r="G101" s="1330">
        <v>0</v>
      </c>
      <c r="H101" s="1330"/>
      <c r="I101" s="1330">
        <v>0</v>
      </c>
      <c r="J101" s="1330">
        <v>0</v>
      </c>
      <c r="K101" s="1330">
        <v>0</v>
      </c>
      <c r="L101" s="1330">
        <v>0</v>
      </c>
      <c r="M101" s="1347" t="s">
        <v>33</v>
      </c>
      <c r="N101" s="1149" t="s">
        <v>1008</v>
      </c>
      <c r="O101" s="1348" t="s">
        <v>682</v>
      </c>
      <c r="P101" s="1148" t="s">
        <v>95</v>
      </c>
    </row>
    <row r="102" spans="1:16" ht="32.25" customHeight="1">
      <c r="A102" s="1421" t="s">
        <v>140</v>
      </c>
      <c r="B102" s="1421"/>
      <c r="C102" s="1421" t="s">
        <v>141</v>
      </c>
      <c r="D102" s="1421"/>
      <c r="E102" s="1110"/>
      <c r="F102" s="1349">
        <f t="shared" ref="F102:L102" si="22">SUM(F103)</f>
        <v>0</v>
      </c>
      <c r="G102" s="1349">
        <f t="shared" si="22"/>
        <v>102608</v>
      </c>
      <c r="H102" s="1349">
        <f t="shared" si="22"/>
        <v>0</v>
      </c>
      <c r="I102" s="1349">
        <f t="shared" si="22"/>
        <v>0</v>
      </c>
      <c r="J102" s="1349">
        <f t="shared" si="22"/>
        <v>0</v>
      </c>
      <c r="K102" s="1349">
        <f t="shared" si="22"/>
        <v>0</v>
      </c>
      <c r="L102" s="1349">
        <f t="shared" si="22"/>
        <v>0</v>
      </c>
      <c r="M102" s="1111"/>
      <c r="N102" s="1112"/>
      <c r="O102" s="1113"/>
      <c r="P102" s="1114"/>
    </row>
    <row r="103" spans="1:16">
      <c r="A103" s="1450" t="s">
        <v>142</v>
      </c>
      <c r="B103" s="1450"/>
      <c r="C103" s="1450"/>
      <c r="D103" s="1450"/>
      <c r="E103" s="1115"/>
      <c r="F103" s="1350">
        <f>SUM(F104:F109)</f>
        <v>0</v>
      </c>
      <c r="G103" s="1351">
        <f>SUM(G104:G109)</f>
        <v>102608</v>
      </c>
      <c r="H103" s="1351">
        <f t="shared" ref="H103:L103" si="23">SUM(H104:H109)</f>
        <v>0</v>
      </c>
      <c r="I103" s="1351">
        <f t="shared" si="23"/>
        <v>0</v>
      </c>
      <c r="J103" s="1351">
        <f t="shared" si="23"/>
        <v>0</v>
      </c>
      <c r="K103" s="1351">
        <f t="shared" si="23"/>
        <v>0</v>
      </c>
      <c r="L103" s="1351">
        <f t="shared" si="23"/>
        <v>0</v>
      </c>
      <c r="M103" s="1116"/>
      <c r="N103" s="1117"/>
      <c r="O103" s="1117"/>
      <c r="P103" s="1118"/>
    </row>
    <row r="104" spans="1:16" ht="175.5" customHeight="1">
      <c r="A104" s="1401" t="s">
        <v>143</v>
      </c>
      <c r="B104" s="1418" t="s">
        <v>144</v>
      </c>
      <c r="C104" s="1174" t="s">
        <v>821</v>
      </c>
      <c r="D104" s="1174" t="s">
        <v>822</v>
      </c>
      <c r="E104" s="1190" t="s">
        <v>88</v>
      </c>
      <c r="F104" s="1100">
        <v>0</v>
      </c>
      <c r="G104" s="1352">
        <f>'3.1.1.1.'!C5</f>
        <v>18150</v>
      </c>
      <c r="H104" s="1214"/>
      <c r="I104" s="1214">
        <v>0</v>
      </c>
      <c r="J104" s="1214">
        <v>0</v>
      </c>
      <c r="K104" s="1214">
        <v>0</v>
      </c>
      <c r="L104" s="1214">
        <v>0</v>
      </c>
      <c r="M104" s="350" t="s">
        <v>145</v>
      </c>
      <c r="N104" s="1270" t="s">
        <v>1009</v>
      </c>
      <c r="O104" s="1353" t="s">
        <v>1081</v>
      </c>
      <c r="P104" s="430" t="s">
        <v>75</v>
      </c>
    </row>
    <row r="105" spans="1:16" s="831" customFormat="1" ht="196.5" customHeight="1">
      <c r="A105" s="1401"/>
      <c r="B105" s="1418"/>
      <c r="C105" s="1156" t="s">
        <v>146</v>
      </c>
      <c r="D105" s="1156" t="s">
        <v>823</v>
      </c>
      <c r="E105" s="1190" t="s">
        <v>88</v>
      </c>
      <c r="F105" s="1100">
        <v>0</v>
      </c>
      <c r="G105" s="1352">
        <v>18150</v>
      </c>
      <c r="H105" s="1214"/>
      <c r="I105" s="1214">
        <v>0</v>
      </c>
      <c r="J105" s="1214">
        <v>0</v>
      </c>
      <c r="K105" s="1214">
        <v>0</v>
      </c>
      <c r="L105" s="1214">
        <v>0</v>
      </c>
      <c r="M105" s="827" t="s">
        <v>60</v>
      </c>
      <c r="N105" s="1243" t="s">
        <v>1010</v>
      </c>
      <c r="O105" s="1353" t="s">
        <v>1088</v>
      </c>
      <c r="P105" s="830" t="s">
        <v>75</v>
      </c>
    </row>
    <row r="106" spans="1:16" s="831" customFormat="1" ht="195" customHeight="1">
      <c r="A106" s="1179" t="s">
        <v>147</v>
      </c>
      <c r="B106" s="1302" t="s">
        <v>148</v>
      </c>
      <c r="C106" s="1302" t="s">
        <v>826</v>
      </c>
      <c r="D106" s="1302" t="s">
        <v>827</v>
      </c>
      <c r="E106" s="1273" t="s">
        <v>88</v>
      </c>
      <c r="F106" s="1246">
        <v>0</v>
      </c>
      <c r="G106" s="1214">
        <f>'3.1.2.'!C6</f>
        <v>14520</v>
      </c>
      <c r="H106" s="1214"/>
      <c r="I106" s="1214">
        <v>0</v>
      </c>
      <c r="J106" s="1214">
        <v>0</v>
      </c>
      <c r="K106" s="1214">
        <v>0</v>
      </c>
      <c r="L106" s="1214">
        <v>0</v>
      </c>
      <c r="M106" s="1354" t="s">
        <v>145</v>
      </c>
      <c r="N106" s="1243" t="s">
        <v>1009</v>
      </c>
      <c r="O106" s="1353" t="s">
        <v>1088</v>
      </c>
      <c r="P106" s="830" t="s">
        <v>73</v>
      </c>
    </row>
    <row r="107" spans="1:16" s="831" customFormat="1" ht="197.1" customHeight="1">
      <c r="A107" s="1284" t="s">
        <v>149</v>
      </c>
      <c r="B107" s="1287" t="s">
        <v>150</v>
      </c>
      <c r="C107" s="1287" t="s">
        <v>151</v>
      </c>
      <c r="D107" s="1287" t="s">
        <v>829</v>
      </c>
      <c r="E107" s="1196" t="s">
        <v>88</v>
      </c>
      <c r="F107" s="1214">
        <v>0</v>
      </c>
      <c r="G107" s="1214">
        <f>'3.1.3.'!C6</f>
        <v>9438</v>
      </c>
      <c r="H107" s="1214"/>
      <c r="I107" s="1214">
        <v>0</v>
      </c>
      <c r="J107" s="1214">
        <v>0</v>
      </c>
      <c r="K107" s="1214">
        <v>0</v>
      </c>
      <c r="L107" s="1214">
        <v>0</v>
      </c>
      <c r="M107" s="1354" t="s">
        <v>152</v>
      </c>
      <c r="N107" s="1243" t="s">
        <v>1009</v>
      </c>
      <c r="O107" s="1353" t="s">
        <v>1088</v>
      </c>
      <c r="P107" s="830" t="s">
        <v>75</v>
      </c>
    </row>
    <row r="108" spans="1:16" s="831" customFormat="1" ht="192.6" customHeight="1">
      <c r="A108" s="1284" t="s">
        <v>153</v>
      </c>
      <c r="B108" s="1287" t="s">
        <v>154</v>
      </c>
      <c r="C108" s="1287" t="s">
        <v>155</v>
      </c>
      <c r="D108" s="1287" t="s">
        <v>830</v>
      </c>
      <c r="E108" s="1196" t="s">
        <v>88</v>
      </c>
      <c r="F108" s="1214">
        <v>0</v>
      </c>
      <c r="G108" s="1214">
        <f>'3.1.4'!C6</f>
        <v>24200</v>
      </c>
      <c r="H108" s="1214"/>
      <c r="I108" s="1214">
        <v>0</v>
      </c>
      <c r="J108" s="1214">
        <v>0</v>
      </c>
      <c r="K108" s="1214">
        <v>0</v>
      </c>
      <c r="L108" s="1214">
        <v>0</v>
      </c>
      <c r="M108" s="1354" t="s">
        <v>60</v>
      </c>
      <c r="N108" s="1197" t="s">
        <v>970</v>
      </c>
      <c r="O108" s="1355" t="s">
        <v>1088</v>
      </c>
      <c r="P108" s="830" t="s">
        <v>75</v>
      </c>
    </row>
    <row r="109" spans="1:16" ht="180.6" customHeight="1">
      <c r="A109" s="375" t="s">
        <v>156</v>
      </c>
      <c r="B109" s="1237" t="s">
        <v>157</v>
      </c>
      <c r="C109" s="1237" t="s">
        <v>158</v>
      </c>
      <c r="D109" s="1356" t="s">
        <v>832</v>
      </c>
      <c r="E109" s="1196" t="s">
        <v>88</v>
      </c>
      <c r="F109" s="1214">
        <v>0</v>
      </c>
      <c r="G109" s="1214">
        <f>'3.1.5'!C5</f>
        <v>18150</v>
      </c>
      <c r="H109" s="1214"/>
      <c r="I109" s="1214">
        <v>0</v>
      </c>
      <c r="J109" s="1214">
        <v>0</v>
      </c>
      <c r="K109" s="1214">
        <v>0</v>
      </c>
      <c r="L109" s="1214">
        <v>0</v>
      </c>
      <c r="M109" s="350" t="s">
        <v>33</v>
      </c>
      <c r="N109" s="1353" t="s">
        <v>905</v>
      </c>
      <c r="O109" s="1316" t="s">
        <v>1081</v>
      </c>
      <c r="P109" s="430" t="s">
        <v>75</v>
      </c>
    </row>
    <row r="116" spans="9:12">
      <c r="I116" s="1120"/>
      <c r="J116" s="1120"/>
      <c r="K116" s="1120"/>
      <c r="L116" s="1120"/>
    </row>
    <row r="117" spans="9:12">
      <c r="I117" s="1120"/>
    </row>
  </sheetData>
  <mergeCells count="134">
    <mergeCell ref="N73:N74"/>
    <mergeCell ref="O73:O74"/>
    <mergeCell ref="M26:M27"/>
    <mergeCell ref="M84:M85"/>
    <mergeCell ref="D84:D85"/>
    <mergeCell ref="P45:P46"/>
    <mergeCell ref="N60:N61"/>
    <mergeCell ref="O60:O61"/>
    <mergeCell ref="P60:P61"/>
    <mergeCell ref="N57:N58"/>
    <mergeCell ref="O57:O58"/>
    <mergeCell ref="P57:P58"/>
    <mergeCell ref="O50:O51"/>
    <mergeCell ref="P50:P51"/>
    <mergeCell ref="N50:N51"/>
    <mergeCell ref="P73:P74"/>
    <mergeCell ref="N75:N76"/>
    <mergeCell ref="M75:M76"/>
    <mergeCell ref="O75:O76"/>
    <mergeCell ref="C33:D33"/>
    <mergeCell ref="M73:M74"/>
    <mergeCell ref="P75:P76"/>
    <mergeCell ref="N26:N27"/>
    <mergeCell ref="N45:N46"/>
    <mergeCell ref="A103:D103"/>
    <mergeCell ref="A42:A44"/>
    <mergeCell ref="B42:B44"/>
    <mergeCell ref="F68:F70"/>
    <mergeCell ref="G68:G70"/>
    <mergeCell ref="A73:A74"/>
    <mergeCell ref="B73:B74"/>
    <mergeCell ref="C73:C74"/>
    <mergeCell ref="D73:D74"/>
    <mergeCell ref="F74:F75"/>
    <mergeCell ref="G74:G75"/>
    <mergeCell ref="A99:A100"/>
    <mergeCell ref="B99:B100"/>
    <mergeCell ref="C99:C100"/>
    <mergeCell ref="A75:A76"/>
    <mergeCell ref="B75:B76"/>
    <mergeCell ref="A35:A37"/>
    <mergeCell ref="B35:B37"/>
    <mergeCell ref="A50:A51"/>
    <mergeCell ref="B50:B51"/>
    <mergeCell ref="C50:C51"/>
    <mergeCell ref="M60:M61"/>
    <mergeCell ref="M57:M58"/>
    <mergeCell ref="H4:L4"/>
    <mergeCell ref="B14:D14"/>
    <mergeCell ref="B15:D15"/>
    <mergeCell ref="B17:D17"/>
    <mergeCell ref="B16:D16"/>
    <mergeCell ref="A21:B21"/>
    <mergeCell ref="C26:C27"/>
    <mergeCell ref="B60:B62"/>
    <mergeCell ref="C31:C32"/>
    <mergeCell ref="B31:B32"/>
    <mergeCell ref="A31:A32"/>
    <mergeCell ref="A33:B33"/>
    <mergeCell ref="A29:A30"/>
    <mergeCell ref="B29:B30"/>
    <mergeCell ref="M29:M30"/>
    <mergeCell ref="C29:C30"/>
    <mergeCell ref="D29:D30"/>
    <mergeCell ref="O45:O46"/>
    <mergeCell ref="B104:B105"/>
    <mergeCell ref="A104:A105"/>
    <mergeCell ref="C45:C46"/>
    <mergeCell ref="D45:D46"/>
    <mergeCell ref="C57:C58"/>
    <mergeCell ref="D57:D58"/>
    <mergeCell ref="D60:D61"/>
    <mergeCell ref="C60:C61"/>
    <mergeCell ref="A83:A85"/>
    <mergeCell ref="A102:B102"/>
    <mergeCell ref="C102:D102"/>
    <mergeCell ref="A80:A82"/>
    <mergeCell ref="B80:B82"/>
    <mergeCell ref="B83:B85"/>
    <mergeCell ref="C84:C85"/>
    <mergeCell ref="A87:A88"/>
    <mergeCell ref="B87:B88"/>
    <mergeCell ref="D50:D51"/>
    <mergeCell ref="A78:D78"/>
    <mergeCell ref="A53:D53"/>
    <mergeCell ref="B56:B59"/>
    <mergeCell ref="A56:A59"/>
    <mergeCell ref="A60:A62"/>
    <mergeCell ref="P87:P88"/>
    <mergeCell ref="B9:D9"/>
    <mergeCell ref="B10:D10"/>
    <mergeCell ref="B12:D12"/>
    <mergeCell ref="B11:D11"/>
    <mergeCell ref="B13:D13"/>
    <mergeCell ref="A67:D67"/>
    <mergeCell ref="A68:A70"/>
    <mergeCell ref="B68:B70"/>
    <mergeCell ref="A34:D34"/>
    <mergeCell ref="A38:A39"/>
    <mergeCell ref="B38:B39"/>
    <mergeCell ref="A45:A48"/>
    <mergeCell ref="B45:B48"/>
    <mergeCell ref="N84:N85"/>
    <mergeCell ref="O84:O85"/>
    <mergeCell ref="P84:P85"/>
    <mergeCell ref="C75:C76"/>
    <mergeCell ref="D75:D76"/>
    <mergeCell ref="O26:O27"/>
    <mergeCell ref="M50:M51"/>
    <mergeCell ref="C36:C37"/>
    <mergeCell ref="P26:P27"/>
    <mergeCell ref="M45:M46"/>
    <mergeCell ref="N29:N30"/>
    <mergeCell ref="O29:O30"/>
    <mergeCell ref="P29:P30"/>
    <mergeCell ref="C4:C5"/>
    <mergeCell ref="D4:D5"/>
    <mergeCell ref="A6:D6"/>
    <mergeCell ref="B7:D7"/>
    <mergeCell ref="B8:D8"/>
    <mergeCell ref="B18:D18"/>
    <mergeCell ref="A26:A28"/>
    <mergeCell ref="B26:B28"/>
    <mergeCell ref="D26:D27"/>
    <mergeCell ref="A22:D22"/>
    <mergeCell ref="A4:A5"/>
    <mergeCell ref="B4:B5"/>
    <mergeCell ref="E4:E5"/>
    <mergeCell ref="M4:M5"/>
    <mergeCell ref="N4:N5"/>
    <mergeCell ref="O4:O5"/>
    <mergeCell ref="P4:P5"/>
    <mergeCell ref="C21:D21"/>
    <mergeCell ref="F4:G4"/>
  </mergeCells>
  <hyperlinks>
    <hyperlink ref="D54" location="_msocom_1" display="5 000[KK1]  pacientu saņēmuši hroniskas slimības intensificētu dinamisko novērošanu"/>
    <hyperlink ref="N39" location="_msocom_1" display="LEA, LLĢĀA, LĢĀA, [KK1] "/>
  </hyperlinks>
  <pageMargins left="0.7" right="0.7" top="0.75" bottom="0.75" header="0.3" footer="0.3"/>
  <pageSetup paperSize="8" scale="42" fitToHeight="0"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A1:M14"/>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J1" s="900" t="s">
        <v>688</v>
      </c>
    </row>
    <row r="2" spans="1:13" ht="35.25" customHeight="1">
      <c r="A2" s="1475" t="s">
        <v>652</v>
      </c>
      <c r="B2" s="1475"/>
      <c r="C2" s="1475"/>
      <c r="D2" s="901"/>
    </row>
    <row r="3" spans="1:13">
      <c r="A3" s="1476" t="s">
        <v>1</v>
      </c>
      <c r="B3" s="1478" t="s">
        <v>1072</v>
      </c>
      <c r="C3" s="1479"/>
      <c r="D3" s="901"/>
    </row>
    <row r="4" spans="1:13">
      <c r="A4" s="1477"/>
      <c r="B4" s="902" t="s">
        <v>653</v>
      </c>
      <c r="C4" s="903" t="s">
        <v>654</v>
      </c>
      <c r="D4" s="904"/>
    </row>
    <row r="5" spans="1:13" ht="52.5" customHeight="1">
      <c r="A5" s="1002" t="s">
        <v>842</v>
      </c>
      <c r="B5" s="1003">
        <f>15000*1.21</f>
        <v>18150</v>
      </c>
      <c r="C5" s="1003">
        <f>15000*1.21</f>
        <v>18150</v>
      </c>
      <c r="D5" s="1004"/>
      <c r="E5" s="1005"/>
      <c r="F5" s="1005"/>
      <c r="G5" s="1005"/>
      <c r="H5" s="1005"/>
      <c r="I5" s="1005"/>
      <c r="J5" s="1005"/>
      <c r="K5" s="1005"/>
    </row>
    <row r="6" spans="1:13" ht="109.5" customHeight="1">
      <c r="A6" s="1474" t="s">
        <v>1079</v>
      </c>
      <c r="B6" s="1474"/>
      <c r="C6" s="1474"/>
      <c r="D6" s="1004"/>
      <c r="E6" s="1005"/>
      <c r="F6" s="1005"/>
      <c r="G6" s="1005"/>
      <c r="H6" s="1005"/>
      <c r="I6" s="1005"/>
      <c r="J6" s="1005"/>
      <c r="K6" s="1005"/>
    </row>
    <row r="7" spans="1:13">
      <c r="A7" s="1480"/>
      <c r="B7" s="1480"/>
      <c r="C7" s="1480"/>
      <c r="D7" s="1005"/>
      <c r="E7" s="1005"/>
      <c r="F7" s="1005"/>
      <c r="G7" s="1005"/>
      <c r="H7" s="1005"/>
      <c r="I7" s="1005"/>
      <c r="J7" s="1005"/>
      <c r="K7" s="1005"/>
    </row>
    <row r="8" spans="1:13">
      <c r="A8" s="1005"/>
      <c r="B8" s="1005"/>
      <c r="C8" s="1005"/>
      <c r="D8" s="1005"/>
      <c r="E8" s="1005"/>
      <c r="F8" s="1005"/>
      <c r="G8" s="1005"/>
      <c r="H8" s="1005"/>
      <c r="I8" s="1005"/>
      <c r="J8" s="1005"/>
      <c r="K8" s="1005"/>
    </row>
    <row r="9" spans="1:13">
      <c r="A9" s="1005"/>
      <c r="B9" s="1005"/>
      <c r="C9" s="1005"/>
      <c r="D9" s="1005"/>
      <c r="E9" s="1005"/>
      <c r="F9" s="1005"/>
      <c r="G9" s="1005"/>
      <c r="H9" s="1005"/>
      <c r="I9" s="1005"/>
      <c r="J9" s="1481"/>
      <c r="K9" s="1481"/>
    </row>
    <row r="10" spans="1:13">
      <c r="A10" s="1473" t="s">
        <v>652</v>
      </c>
      <c r="B10" s="1473"/>
      <c r="C10" s="1473"/>
      <c r="D10" s="1473"/>
      <c r="E10" s="1473"/>
      <c r="F10" s="1473"/>
      <c r="G10" s="1473"/>
      <c r="H10" s="1473"/>
      <c r="I10" s="1473"/>
      <c r="J10" s="1473"/>
      <c r="K10" s="1473"/>
    </row>
    <row r="11" spans="1:13" ht="51">
      <c r="A11" s="1006"/>
      <c r="B11" s="1007" t="s">
        <v>1</v>
      </c>
      <c r="C11" s="1007" t="s">
        <v>2</v>
      </c>
      <c r="D11" s="1008" t="s">
        <v>3</v>
      </c>
      <c r="E11" s="1008" t="s">
        <v>655</v>
      </c>
      <c r="F11" s="1008" t="s">
        <v>656</v>
      </c>
      <c r="G11" s="1008" t="s">
        <v>657</v>
      </c>
      <c r="H11" s="1008" t="s">
        <v>658</v>
      </c>
      <c r="I11" s="1008" t="s">
        <v>659</v>
      </c>
      <c r="J11" s="1008" t="s">
        <v>660</v>
      </c>
      <c r="K11" s="1008" t="s">
        <v>661</v>
      </c>
    </row>
    <row r="12" spans="1:13" ht="105" customHeight="1">
      <c r="A12" s="1008" t="s">
        <v>662</v>
      </c>
      <c r="B12" s="1002" t="s">
        <v>842</v>
      </c>
      <c r="C12" s="1009"/>
      <c r="D12" s="1009"/>
      <c r="E12" s="1007" t="s">
        <v>1</v>
      </c>
      <c r="F12" s="1003">
        <v>2</v>
      </c>
      <c r="G12" s="1003">
        <v>15000</v>
      </c>
      <c r="H12" s="1003">
        <f>F12*G12</f>
        <v>30000</v>
      </c>
      <c r="I12" s="1003">
        <v>21</v>
      </c>
      <c r="J12" s="1003">
        <f>G12*1.21</f>
        <v>18150</v>
      </c>
      <c r="K12" s="1003">
        <f>F12*J12</f>
        <v>36300</v>
      </c>
      <c r="M12" s="911"/>
    </row>
    <row r="13" spans="1:13">
      <c r="A13" s="1010"/>
      <c r="B13" s="1010"/>
      <c r="C13" s="1010"/>
      <c r="D13" s="1010"/>
      <c r="E13" s="1010"/>
      <c r="F13" s="1010"/>
      <c r="G13" s="1010"/>
      <c r="H13" s="1003">
        <f>SUM(H12:H12)</f>
        <v>30000</v>
      </c>
      <c r="I13" s="1010"/>
      <c r="J13" s="1011"/>
      <c r="K13" s="1003">
        <f>SUM(K12:K12)</f>
        <v>36300</v>
      </c>
    </row>
    <row r="14" spans="1:13" ht="59.45" customHeight="1">
      <c r="A14" s="1474" t="s">
        <v>1079</v>
      </c>
      <c r="B14" s="1474"/>
      <c r="C14" s="1474"/>
      <c r="D14" s="1474"/>
      <c r="E14" s="1474"/>
      <c r="F14" s="1474"/>
      <c r="G14" s="1474"/>
      <c r="H14" s="1474"/>
      <c r="I14" s="1474"/>
      <c r="J14" s="1474"/>
      <c r="K14" s="1474"/>
    </row>
  </sheetData>
  <mergeCells count="8">
    <mergeCell ref="A10:K10"/>
    <mergeCell ref="A14:K14"/>
    <mergeCell ref="A2:C2"/>
    <mergeCell ref="A3:A4"/>
    <mergeCell ref="B3:C3"/>
    <mergeCell ref="A6:C6"/>
    <mergeCell ref="A7:C7"/>
    <mergeCell ref="J9:K9"/>
  </mergeCells>
  <pageMargins left="0.7" right="0.7" top="0.75" bottom="0.75" header="0.3" footer="0.3"/>
  <pageSetup paperSize="9" scale="44" orientation="portrait"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A1:K44"/>
  <sheetViews>
    <sheetView zoomScaleNormal="100" workbookViewId="0">
      <selection activeCell="A4" sqref="A4:B4"/>
    </sheetView>
  </sheetViews>
  <sheetFormatPr defaultRowHeight="14.25"/>
  <cols>
    <col min="1" max="1" width="64.25" customWidth="1"/>
    <col min="2" max="3" width="17.125" customWidth="1"/>
    <col min="4" max="8" width="15.75" customWidth="1"/>
    <col min="9" max="11" width="12.125" customWidth="1"/>
    <col min="12" max="12" width="11.75" bestFit="1" customWidth="1"/>
  </cols>
  <sheetData>
    <row r="1" spans="1:8">
      <c r="G1" s="900" t="s">
        <v>950</v>
      </c>
    </row>
    <row r="2" spans="1:8" s="791" customFormat="1" ht="15.75">
      <c r="A2" s="791" t="s">
        <v>929</v>
      </c>
    </row>
    <row r="3" spans="1:8">
      <c r="A3" s="1486"/>
      <c r="B3" s="1486"/>
      <c r="C3" s="1486"/>
      <c r="D3" s="1486"/>
      <c r="E3" s="1486"/>
      <c r="F3" s="1486"/>
      <c r="G3" s="1486"/>
    </row>
    <row r="4" spans="1:8" s="166" customFormat="1" ht="127.5">
      <c r="A4" s="1487" t="s">
        <v>159</v>
      </c>
      <c r="B4" s="1487"/>
      <c r="C4" s="485" t="s">
        <v>181</v>
      </c>
      <c r="D4" s="485" t="s">
        <v>1013</v>
      </c>
      <c r="E4" s="1059" t="s">
        <v>1014</v>
      </c>
      <c r="F4" s="1059" t="s">
        <v>1015</v>
      </c>
      <c r="G4" s="1059" t="s">
        <v>1016</v>
      </c>
    </row>
    <row r="5" spans="1:8" s="166" customFormat="1" ht="12.75">
      <c r="A5" s="1488" t="s">
        <v>45</v>
      </c>
      <c r="B5" s="1488"/>
      <c r="C5" s="1057">
        <v>0</v>
      </c>
      <c r="D5" s="486">
        <f>SUM(F21)</f>
        <v>1028720</v>
      </c>
      <c r="E5" s="486">
        <f>D5*1.05</f>
        <v>1080156</v>
      </c>
      <c r="F5" s="486">
        <f>E5*1.05</f>
        <v>1134163.8</v>
      </c>
      <c r="G5" s="486">
        <f>F5*1.05</f>
        <v>1190871.99</v>
      </c>
    </row>
    <row r="6" spans="1:8" s="166" customFormat="1" ht="12.75">
      <c r="A6" s="1489" t="s">
        <v>46</v>
      </c>
      <c r="B6" s="1489"/>
      <c r="C6" s="1058">
        <v>0</v>
      </c>
      <c r="D6" s="486">
        <f>SUM(F22)</f>
        <v>177354</v>
      </c>
      <c r="E6" s="486">
        <f t="shared" ref="E6:G6" si="0">SUM(D6)</f>
        <v>177354</v>
      </c>
      <c r="F6" s="486">
        <f t="shared" si="0"/>
        <v>177354</v>
      </c>
      <c r="G6" s="486">
        <f t="shared" si="0"/>
        <v>177354</v>
      </c>
    </row>
    <row r="8" spans="1:8" s="168" customFormat="1" ht="12.75" customHeight="1">
      <c r="A8" s="1490" t="s">
        <v>951</v>
      </c>
      <c r="B8" s="1490"/>
      <c r="C8" s="1490"/>
      <c r="D8" s="1490"/>
      <c r="E8" s="1490"/>
      <c r="F8" s="1490"/>
      <c r="G8" s="1022"/>
    </row>
    <row r="9" spans="1:8" s="166" customFormat="1" ht="38.25">
      <c r="A9" s="188" t="s">
        <v>930</v>
      </c>
      <c r="B9" s="1023" t="s">
        <v>931</v>
      </c>
      <c r="C9" s="1024" t="s">
        <v>980</v>
      </c>
      <c r="D9" s="189" t="s">
        <v>932</v>
      </c>
      <c r="E9" s="189" t="s">
        <v>164</v>
      </c>
      <c r="F9" s="189" t="s">
        <v>165</v>
      </c>
    </row>
    <row r="10" spans="1:8" s="1029" customFormat="1" ht="12.75">
      <c r="A10" s="1070" t="s">
        <v>933</v>
      </c>
      <c r="B10" s="1025">
        <f>B11+B12+B13</f>
        <v>47018</v>
      </c>
      <c r="C10" s="1026">
        <f>SUM(C11:C13)</f>
        <v>23510</v>
      </c>
      <c r="D10" s="1027">
        <v>30.8</v>
      </c>
      <c r="E10" s="1028">
        <v>5.31</v>
      </c>
      <c r="F10" s="1482">
        <f>SUM(C10*D10+(C10*E10))</f>
        <v>848946.1</v>
      </c>
      <c r="H10" s="1030"/>
    </row>
    <row r="11" spans="1:8" s="1036" customFormat="1" ht="13.5">
      <c r="A11" s="1031" t="s">
        <v>934</v>
      </c>
      <c r="B11" s="1032">
        <v>42703</v>
      </c>
      <c r="C11" s="1033">
        <f>ROUNDUP(B11*0.5,0)</f>
        <v>21352</v>
      </c>
      <c r="D11" s="1034"/>
      <c r="E11" s="1035"/>
      <c r="F11" s="1483"/>
      <c r="H11" s="1030"/>
    </row>
    <row r="12" spans="1:8" s="1036" customFormat="1" ht="12.75">
      <c r="A12" s="1064" t="s">
        <v>935</v>
      </c>
      <c r="B12" s="1032">
        <v>987</v>
      </c>
      <c r="C12" s="1033">
        <f>ROUNDUP(B12*0.5,0)</f>
        <v>494</v>
      </c>
      <c r="D12" s="1034"/>
      <c r="E12" s="1035"/>
      <c r="F12" s="1483"/>
    </row>
    <row r="13" spans="1:8" s="1036" customFormat="1" ht="12.75">
      <c r="A13" s="1064" t="s">
        <v>936</v>
      </c>
      <c r="B13" s="1032">
        <v>3328</v>
      </c>
      <c r="C13" s="1033">
        <f>ROUNDUP(B13*0.5,0)</f>
        <v>1664</v>
      </c>
      <c r="D13" s="1037"/>
      <c r="E13" s="1038"/>
      <c r="F13" s="1484"/>
    </row>
    <row r="14" spans="1:8" s="655" customFormat="1" ht="12.75">
      <c r="A14" s="1070" t="s">
        <v>937</v>
      </c>
      <c r="B14" s="1039">
        <f>B15+B16+B17+B18</f>
        <v>19780</v>
      </c>
      <c r="C14" s="1040">
        <f>SUM(C15:C18)</f>
        <v>9890</v>
      </c>
      <c r="D14" s="1041">
        <v>30.8</v>
      </c>
      <c r="E14" s="1028">
        <v>5.31</v>
      </c>
      <c r="F14" s="1482">
        <f>SUM(C14*D14+(C14*E14))</f>
        <v>357127.9</v>
      </c>
    </row>
    <row r="15" spans="1:8" s="1036" customFormat="1" ht="12.75">
      <c r="A15" s="1064" t="s">
        <v>938</v>
      </c>
      <c r="B15" s="1032">
        <v>7450</v>
      </c>
      <c r="C15" s="1033">
        <f>ROUNDUP(B15*0.5,0)</f>
        <v>3725</v>
      </c>
      <c r="D15" s="1042"/>
      <c r="E15" s="1035"/>
      <c r="F15" s="1483"/>
    </row>
    <row r="16" spans="1:8" s="1036" customFormat="1" ht="12.75">
      <c r="A16" s="1064" t="s">
        <v>939</v>
      </c>
      <c r="B16" s="1043">
        <v>11478</v>
      </c>
      <c r="C16" s="1063">
        <f>ROUNDUP(B16*0.5,0)</f>
        <v>5739</v>
      </c>
      <c r="D16" s="1042"/>
      <c r="E16" s="1035"/>
      <c r="F16" s="1483"/>
    </row>
    <row r="17" spans="1:6" s="1036" customFormat="1" ht="12.75">
      <c r="A17" s="1064" t="s">
        <v>940</v>
      </c>
      <c r="B17" s="1069">
        <v>36</v>
      </c>
      <c r="C17" s="1065">
        <f>ROUNDUP(B17*0.5,0)</f>
        <v>18</v>
      </c>
      <c r="D17" s="1066"/>
      <c r="E17" s="1067"/>
      <c r="F17" s="1483"/>
    </row>
    <row r="18" spans="1:6" s="1036" customFormat="1" ht="12.75">
      <c r="A18" s="1064" t="s">
        <v>941</v>
      </c>
      <c r="B18" s="1069">
        <v>816</v>
      </c>
      <c r="C18" s="1065">
        <f>ROUNDUP(B18*0.5,0)</f>
        <v>408</v>
      </c>
      <c r="D18" s="1066"/>
      <c r="E18" s="1067"/>
      <c r="F18" s="1484"/>
    </row>
    <row r="19" spans="1:6" s="656" customFormat="1" ht="13.5">
      <c r="A19" s="1044" t="s">
        <v>971</v>
      </c>
      <c r="B19" s="483"/>
      <c r="C19" s="483"/>
      <c r="D19" s="1491" t="s">
        <v>170</v>
      </c>
      <c r="E19" s="1492"/>
      <c r="F19" s="1068">
        <f>ROUND(F10+F14,0)</f>
        <v>1206074</v>
      </c>
    </row>
    <row r="20" spans="1:6" s="166" customFormat="1" ht="12.75">
      <c r="A20" s="483"/>
      <c r="B20" s="483"/>
      <c r="C20" s="483"/>
      <c r="D20" s="1485" t="s">
        <v>942</v>
      </c>
      <c r="E20" s="1485"/>
      <c r="F20" s="487"/>
    </row>
    <row r="21" spans="1:6" s="1036" customFormat="1" ht="12.75">
      <c r="A21" s="483"/>
      <c r="B21" s="483"/>
      <c r="C21" s="483"/>
      <c r="D21" s="1045"/>
      <c r="E21" s="1046" t="s">
        <v>172</v>
      </c>
      <c r="F21" s="1062">
        <f>ROUND(SUM(C14+C10)*D14,0)</f>
        <v>1028720</v>
      </c>
    </row>
    <row r="22" spans="1:6" s="1036" customFormat="1">
      <c r="A22"/>
      <c r="B22"/>
      <c r="C22"/>
      <c r="D22" s="1047"/>
      <c r="E22" s="1048" t="s">
        <v>173</v>
      </c>
      <c r="F22" s="1062">
        <f>ROUND(SUM(C14+C10)*E14,0)</f>
        <v>177354</v>
      </c>
    </row>
    <row r="23" spans="1:6" s="166" customFormat="1">
      <c r="A23" s="1049" t="s">
        <v>943</v>
      </c>
      <c r="B23" s="1050"/>
      <c r="C23" s="1050"/>
      <c r="D23"/>
      <c r="E23"/>
      <c r="F23"/>
    </row>
    <row r="24" spans="1:6" s="1036" customFormat="1" ht="12.75">
      <c r="A24" s="1049" t="s">
        <v>944</v>
      </c>
      <c r="B24" s="1050"/>
      <c r="C24" s="1050"/>
      <c r="D24" s="1050"/>
      <c r="E24" s="1050"/>
      <c r="F24" s="1050"/>
    </row>
    <row r="25" spans="1:6" s="166" customFormat="1" ht="12.75">
      <c r="A25" s="1052"/>
      <c r="B25" s="1052"/>
      <c r="C25" s="1052"/>
      <c r="D25" s="1052"/>
      <c r="E25" s="1052"/>
      <c r="F25" s="1052"/>
    </row>
    <row r="26" spans="1:6" s="166" customFormat="1" ht="25.5">
      <c r="A26" s="1053" t="s">
        <v>945</v>
      </c>
      <c r="B26" s="1053"/>
      <c r="C26" s="1053"/>
      <c r="D26" s="1052"/>
      <c r="E26" s="1051"/>
      <c r="F26" s="1051"/>
    </row>
    <row r="27" spans="1:6" s="166" customFormat="1" ht="12.75">
      <c r="A27" s="1051" t="s">
        <v>946</v>
      </c>
      <c r="B27" s="1054">
        <v>25</v>
      </c>
      <c r="C27" s="1052"/>
      <c r="D27" s="1053"/>
      <c r="E27" s="1053"/>
      <c r="F27" s="1053"/>
    </row>
    <row r="28" spans="1:6" s="168" customFormat="1" ht="15" customHeight="1">
      <c r="A28" s="1051" t="s">
        <v>947</v>
      </c>
      <c r="B28" s="1054">
        <v>27.5</v>
      </c>
      <c r="C28" s="1052"/>
      <c r="D28" s="1052"/>
      <c r="E28" s="1052"/>
      <c r="F28" s="1052"/>
    </row>
    <row r="29" spans="1:6" s="483" customFormat="1" ht="23.25" customHeight="1">
      <c r="A29" s="1052" t="s">
        <v>163</v>
      </c>
      <c r="B29" s="1055">
        <v>30.8</v>
      </c>
      <c r="C29" s="1051"/>
      <c r="D29" s="1052"/>
      <c r="E29" s="1052"/>
      <c r="F29" s="1052"/>
    </row>
    <row r="30" spans="1:6" s="483" customFormat="1" ht="12.75">
      <c r="A30" s="1052" t="s">
        <v>948</v>
      </c>
      <c r="B30" s="1051">
        <v>5.31</v>
      </c>
      <c r="C30" s="1051"/>
      <c r="D30" s="1052"/>
      <c r="E30" s="1052"/>
      <c r="F30" s="1052"/>
    </row>
    <row r="31" spans="1:6" s="483" customFormat="1" ht="12.75">
      <c r="A31" s="1052" t="s">
        <v>949</v>
      </c>
      <c r="B31" s="1056">
        <v>36.11</v>
      </c>
      <c r="C31" s="1056"/>
      <c r="D31" s="1052"/>
      <c r="E31" s="1051"/>
      <c r="F31" s="1051"/>
    </row>
    <row r="32" spans="1:6">
      <c r="A32" s="1052"/>
      <c r="B32" s="1052"/>
      <c r="C32" s="1052"/>
      <c r="D32" s="1052"/>
      <c r="E32" s="1051"/>
      <c r="F32" s="1051"/>
    </row>
    <row r="33" spans="1:11" s="1050" customFormat="1">
      <c r="A33"/>
      <c r="B33"/>
      <c r="C33"/>
      <c r="D33" s="1052"/>
      <c r="E33" s="1051"/>
      <c r="F33" s="1051"/>
    </row>
    <row r="34" spans="1:11" s="1050" customFormat="1">
      <c r="A34"/>
      <c r="B34"/>
      <c r="C34"/>
      <c r="D34"/>
      <c r="E34"/>
      <c r="F34"/>
    </row>
    <row r="35" spans="1:11">
      <c r="G35" s="1052"/>
      <c r="H35" s="1052"/>
      <c r="I35" s="1052"/>
      <c r="J35" s="1052"/>
      <c r="K35" s="1052"/>
    </row>
    <row r="36" spans="1:11">
      <c r="G36" s="1052"/>
      <c r="H36" s="1052"/>
      <c r="I36" s="1052"/>
      <c r="J36" s="1052"/>
      <c r="K36" s="1052"/>
    </row>
    <row r="37" spans="1:11">
      <c r="G37" s="1052"/>
      <c r="H37" s="1052"/>
      <c r="I37" s="1052"/>
      <c r="J37" s="1052"/>
      <c r="K37" s="1052"/>
    </row>
    <row r="38" spans="1:11" ht="40.5" customHeight="1">
      <c r="G38" s="1052"/>
      <c r="H38" s="1052"/>
      <c r="I38" s="1052"/>
      <c r="J38" s="1052"/>
      <c r="K38" s="1052"/>
    </row>
    <row r="39" spans="1:11">
      <c r="G39" s="1051"/>
      <c r="H39" s="1051"/>
      <c r="I39" s="1052"/>
      <c r="J39" s="1052"/>
      <c r="K39" s="1052"/>
    </row>
    <row r="40" spans="1:11">
      <c r="G40" s="1052"/>
      <c r="H40" s="1052"/>
      <c r="I40" s="1051"/>
      <c r="J40" s="1051"/>
      <c r="K40" s="1052"/>
    </row>
    <row r="41" spans="1:11">
      <c r="G41" s="1052"/>
      <c r="H41" s="1056"/>
      <c r="I41" s="1052"/>
      <c r="J41" s="1052"/>
      <c r="K41" s="1052"/>
    </row>
    <row r="42" spans="1:11">
      <c r="G42" s="1052"/>
      <c r="H42" s="1056"/>
      <c r="I42" s="1052"/>
      <c r="J42" s="1052"/>
      <c r="K42" s="1052"/>
    </row>
    <row r="43" spans="1:11">
      <c r="G43" s="1052"/>
      <c r="H43" s="1056"/>
      <c r="I43" s="1052"/>
      <c r="J43" s="1052"/>
      <c r="K43" s="1052"/>
    </row>
    <row r="44" spans="1:11">
      <c r="G44" s="1052"/>
      <c r="H44" s="1056"/>
      <c r="I44" s="1052"/>
      <c r="J44" s="1052"/>
      <c r="K44" s="1052"/>
    </row>
  </sheetData>
  <mergeCells count="9">
    <mergeCell ref="F14:F18"/>
    <mergeCell ref="D20:E20"/>
    <mergeCell ref="A3:G3"/>
    <mergeCell ref="A4:B4"/>
    <mergeCell ref="A5:B5"/>
    <mergeCell ref="A6:B6"/>
    <mergeCell ref="A8:F8"/>
    <mergeCell ref="F10:F13"/>
    <mergeCell ref="D19:E19"/>
  </mergeCells>
  <pageMargins left="0.7" right="0.7" top="0.75" bottom="0.75" header="0.3" footer="0.3"/>
  <pageSetup paperSize="9" scale="54" orientation="portrait" verticalDpi="0" r:id="rId1"/>
  <colBreaks count="1" manualBreakCount="1">
    <brk id="7" max="4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A1:F67"/>
  <sheetViews>
    <sheetView zoomScaleNormal="100" workbookViewId="0">
      <selection activeCell="A4" sqref="A4"/>
    </sheetView>
  </sheetViews>
  <sheetFormatPr defaultColWidth="8.875" defaultRowHeight="12.75"/>
  <cols>
    <col min="1" max="1" width="13.25" style="166" customWidth="1"/>
    <col min="2" max="2" width="30.5" style="166" customWidth="1"/>
    <col min="3" max="3" width="12.875" style="166" customWidth="1"/>
    <col min="4" max="5" width="13.25" style="166" customWidth="1"/>
    <col min="6" max="6" width="13.75" style="166" customWidth="1"/>
    <col min="7" max="16384" width="8.875" style="166"/>
  </cols>
  <sheetData>
    <row r="1" spans="1:6">
      <c r="F1" s="900" t="s">
        <v>925</v>
      </c>
    </row>
    <row r="3" spans="1:6" ht="15.75">
      <c r="A3" s="1496" t="s">
        <v>684</v>
      </c>
      <c r="B3" s="1496"/>
      <c r="C3" s="1496"/>
      <c r="D3" s="1496"/>
      <c r="E3" s="1496"/>
      <c r="F3" s="1496"/>
    </row>
    <row r="5" spans="1:6" ht="89.25">
      <c r="A5" s="1487" t="s">
        <v>159</v>
      </c>
      <c r="B5" s="1487"/>
      <c r="C5" s="485" t="s">
        <v>1013</v>
      </c>
      <c r="D5" s="485" t="s">
        <v>1017</v>
      </c>
      <c r="E5" s="485" t="s">
        <v>1018</v>
      </c>
      <c r="F5" s="485" t="s">
        <v>1019</v>
      </c>
    </row>
    <row r="6" spans="1:6">
      <c r="A6" s="1488" t="s">
        <v>45</v>
      </c>
      <c r="B6" s="1488"/>
      <c r="C6" s="486">
        <f>SUM(F26)</f>
        <v>1625170</v>
      </c>
      <c r="D6" s="486">
        <f>SUM(F44)</f>
        <v>1826238</v>
      </c>
      <c r="E6" s="486">
        <f>SUM(F64)</f>
        <v>2038011.8599999994</v>
      </c>
      <c r="F6" s="486">
        <f>SUM(E6)</f>
        <v>2038011.8599999994</v>
      </c>
    </row>
    <row r="7" spans="1:6" ht="30.75" customHeight="1">
      <c r="A7" s="1489" t="s">
        <v>46</v>
      </c>
      <c r="B7" s="1489"/>
      <c r="C7" s="486">
        <f>SUM(F27)</f>
        <v>167371</v>
      </c>
      <c r="D7" s="486">
        <f>SUM(F45)</f>
        <v>167371</v>
      </c>
      <c r="E7" s="486">
        <f>SUM(F65)</f>
        <v>167371.19999999995</v>
      </c>
      <c r="F7" s="486">
        <f>SUM(E7)</f>
        <v>167371.19999999995</v>
      </c>
    </row>
    <row r="10" spans="1:6" s="168" customFormat="1">
      <c r="A10" s="1486" t="s">
        <v>12</v>
      </c>
      <c r="B10" s="1486"/>
      <c r="C10" s="1486"/>
      <c r="D10" s="1486"/>
      <c r="E10" s="1486"/>
      <c r="F10" s="1486"/>
    </row>
    <row r="11" spans="1:6" ht="25.5">
      <c r="A11" s="188" t="s">
        <v>160</v>
      </c>
      <c r="B11" s="188" t="s">
        <v>161</v>
      </c>
      <c r="C11" s="189" t="s">
        <v>162</v>
      </c>
      <c r="D11" s="189" t="s">
        <v>163</v>
      </c>
      <c r="E11" s="189" t="s">
        <v>164</v>
      </c>
      <c r="F11" s="189" t="s">
        <v>165</v>
      </c>
    </row>
    <row r="12" spans="1:6">
      <c r="A12" s="1497" t="s">
        <v>166</v>
      </c>
      <c r="B12" s="487" t="s">
        <v>167</v>
      </c>
      <c r="C12" s="488">
        <v>6816</v>
      </c>
      <c r="D12" s="489">
        <v>30.26</v>
      </c>
      <c r="E12" s="487">
        <v>5.31</v>
      </c>
      <c r="F12" s="489">
        <f>SUM(C12*D12)+E12*C12</f>
        <v>242445.12</v>
      </c>
    </row>
    <row r="13" spans="1:6">
      <c r="A13" s="1498"/>
      <c r="B13" s="487" t="s">
        <v>168</v>
      </c>
      <c r="C13" s="488">
        <v>78366</v>
      </c>
      <c r="D13" s="489">
        <v>42.69</v>
      </c>
      <c r="E13" s="487">
        <v>5.31</v>
      </c>
      <c r="F13" s="489">
        <f>SUM(C13*D13)+E13*C13</f>
        <v>3761568</v>
      </c>
    </row>
    <row r="14" spans="1:6">
      <c r="A14" s="1498"/>
      <c r="B14" s="490" t="s">
        <v>169</v>
      </c>
      <c r="C14" s="491">
        <v>76958</v>
      </c>
      <c r="D14" s="492">
        <v>6.19</v>
      </c>
      <c r="E14" s="487">
        <v>5.31</v>
      </c>
      <c r="F14" s="489">
        <f>SUM(C14*D14)+E14*C14</f>
        <v>885017</v>
      </c>
    </row>
    <row r="15" spans="1:6" s="168" customFormat="1">
      <c r="A15" s="493"/>
      <c r="B15" s="493"/>
      <c r="C15" s="1499" t="s">
        <v>170</v>
      </c>
      <c r="D15" s="1500"/>
      <c r="E15" s="1501"/>
      <c r="F15" s="494">
        <f>SUM(F12:F14)</f>
        <v>4889030.12</v>
      </c>
    </row>
    <row r="16" spans="1:6" s="483" customFormat="1">
      <c r="C16" s="1502" t="s">
        <v>171</v>
      </c>
      <c r="D16" s="1503"/>
      <c r="E16" s="1504"/>
      <c r="F16" s="495"/>
    </row>
    <row r="17" spans="1:6" s="483" customFormat="1">
      <c r="B17" s="496"/>
      <c r="C17" s="1505" t="s">
        <v>172</v>
      </c>
      <c r="D17" s="1506"/>
      <c r="E17" s="1507"/>
      <c r="F17" s="495">
        <f>SUM(C12*D12)+(C13*D13)+(C14*D14)</f>
        <v>4028066.72</v>
      </c>
    </row>
    <row r="18" spans="1:6" s="483" customFormat="1">
      <c r="B18" s="496"/>
      <c r="C18" s="1506" t="s">
        <v>173</v>
      </c>
      <c r="D18" s="1506"/>
      <c r="E18" s="1507"/>
      <c r="F18" s="495">
        <f>SUM(C12+C13+C14)*E12</f>
        <v>860963.39999999991</v>
      </c>
    </row>
    <row r="19" spans="1:6" s="168" customFormat="1">
      <c r="C19" s="497"/>
      <c r="D19" s="497"/>
      <c r="E19" s="497"/>
      <c r="F19" s="498"/>
    </row>
    <row r="20" spans="1:6" s="168" customFormat="1">
      <c r="C20" s="1508" t="s">
        <v>680</v>
      </c>
      <c r="D20" s="1508"/>
      <c r="E20" s="1508"/>
      <c r="F20" s="1508"/>
    </row>
    <row r="21" spans="1:6" s="168" customFormat="1">
      <c r="A21" s="483"/>
      <c r="B21" s="483"/>
      <c r="C21" s="1493" t="s">
        <v>172</v>
      </c>
      <c r="D21" s="1494"/>
      <c r="E21" s="1495"/>
      <c r="F21" s="494">
        <v>2402897</v>
      </c>
    </row>
    <row r="22" spans="1:6" s="168" customFormat="1">
      <c r="A22" s="483"/>
      <c r="B22" s="483"/>
      <c r="C22" s="1493" t="s">
        <v>173</v>
      </c>
      <c r="D22" s="1494"/>
      <c r="E22" s="1495"/>
      <c r="F22" s="499">
        <f>130620*E12</f>
        <v>693592.2</v>
      </c>
    </row>
    <row r="23" spans="1:6" s="168" customFormat="1">
      <c r="A23" s="500"/>
      <c r="B23" s="500"/>
      <c r="C23" s="501"/>
      <c r="D23" s="501"/>
      <c r="E23" s="501"/>
      <c r="F23" s="502"/>
    </row>
    <row r="24" spans="1:6" s="168" customFormat="1">
      <c r="B24" s="503"/>
      <c r="C24" s="1493" t="s">
        <v>174</v>
      </c>
      <c r="D24" s="1494"/>
      <c r="E24" s="1495"/>
      <c r="F24" s="504">
        <f>ROUND(SUM(F15)-F21-F22,0)</f>
        <v>1792541</v>
      </c>
    </row>
    <row r="25" spans="1:6" s="168" customFormat="1">
      <c r="B25" s="503"/>
      <c r="C25" s="1499" t="s">
        <v>171</v>
      </c>
      <c r="D25" s="1500"/>
      <c r="E25" s="1501"/>
      <c r="F25" s="505"/>
    </row>
    <row r="26" spans="1:6" s="168" customFormat="1">
      <c r="B26" s="503"/>
      <c r="C26" s="1499" t="s">
        <v>172</v>
      </c>
      <c r="D26" s="1500"/>
      <c r="E26" s="1501"/>
      <c r="F26" s="506">
        <f>ROUND(SUM(F17-F21),0)</f>
        <v>1625170</v>
      </c>
    </row>
    <row r="27" spans="1:6" s="168" customFormat="1">
      <c r="B27" s="503"/>
      <c r="C27" s="1499" t="s">
        <v>173</v>
      </c>
      <c r="D27" s="1500"/>
      <c r="E27" s="1501"/>
      <c r="F27" s="506">
        <f>ROUND(SUM(F18-F22),0)</f>
        <v>167371</v>
      </c>
    </row>
    <row r="28" spans="1:6" s="168" customFormat="1">
      <c r="A28" s="500"/>
      <c r="B28" s="500"/>
      <c r="C28" s="500"/>
      <c r="D28" s="500"/>
      <c r="E28" s="500"/>
      <c r="F28" s="507"/>
    </row>
    <row r="29" spans="1:6">
      <c r="A29" s="1486" t="s">
        <v>839</v>
      </c>
      <c r="B29" s="1486"/>
      <c r="C29" s="1486"/>
      <c r="D29" s="1486"/>
      <c r="E29" s="1486"/>
      <c r="F29" s="1486"/>
    </row>
    <row r="30" spans="1:6" ht="25.5">
      <c r="A30" s="188" t="s">
        <v>160</v>
      </c>
      <c r="B30" s="188" t="s">
        <v>161</v>
      </c>
      <c r="C30" s="189" t="s">
        <v>162</v>
      </c>
      <c r="D30" s="189" t="s">
        <v>175</v>
      </c>
      <c r="E30" s="189" t="s">
        <v>164</v>
      </c>
      <c r="F30" s="189" t="s">
        <v>165</v>
      </c>
    </row>
    <row r="31" spans="1:6">
      <c r="A31" s="1497" t="s">
        <v>176</v>
      </c>
      <c r="B31" s="487" t="s">
        <v>167</v>
      </c>
      <c r="C31" s="488">
        <v>6816</v>
      </c>
      <c r="D31" s="489">
        <v>31.77</v>
      </c>
      <c r="E31" s="487">
        <v>5.31</v>
      </c>
      <c r="F31" s="489">
        <f>SUM(C31*D31)+E31*C31</f>
        <v>252737.28</v>
      </c>
    </row>
    <row r="32" spans="1:6">
      <c r="A32" s="1498"/>
      <c r="B32" s="487" t="s">
        <v>168</v>
      </c>
      <c r="C32" s="488">
        <v>78366</v>
      </c>
      <c r="D32" s="489">
        <v>44.82</v>
      </c>
      <c r="E32" s="487">
        <v>5.31</v>
      </c>
      <c r="F32" s="489">
        <f>SUM(C32*D32)+E32*C32</f>
        <v>3928487.58</v>
      </c>
    </row>
    <row r="33" spans="1:6">
      <c r="A33" s="1509"/>
      <c r="B33" s="487" t="s">
        <v>169</v>
      </c>
      <c r="C33" s="488">
        <v>76958</v>
      </c>
      <c r="D33" s="489">
        <v>6.5</v>
      </c>
      <c r="E33" s="487">
        <v>5.31</v>
      </c>
      <c r="F33" s="489">
        <f>SUM(C33*D33)+E33*C33</f>
        <v>908873.98</v>
      </c>
    </row>
    <row r="34" spans="1:6">
      <c r="A34" s="1510" t="s">
        <v>170</v>
      </c>
      <c r="B34" s="1511"/>
      <c r="C34" s="1500"/>
      <c r="D34" s="1500"/>
      <c r="E34" s="1501"/>
      <c r="F34" s="494">
        <f>SUM(F31:F33)</f>
        <v>5090098.84</v>
      </c>
    </row>
    <row r="35" spans="1:6" s="483" customFormat="1">
      <c r="B35" s="496"/>
      <c r="C35" s="1503" t="s">
        <v>171</v>
      </c>
      <c r="D35" s="1503"/>
      <c r="E35" s="1504"/>
      <c r="F35" s="495"/>
    </row>
    <row r="36" spans="1:6" s="483" customFormat="1">
      <c r="B36" s="496"/>
      <c r="C36" s="1506" t="s">
        <v>172</v>
      </c>
      <c r="D36" s="1506"/>
      <c r="E36" s="1507"/>
      <c r="F36" s="495">
        <f>SUM(C31*D31)+(C32*D32)+(C33*D33)</f>
        <v>4229135.4399999995</v>
      </c>
    </row>
    <row r="37" spans="1:6" s="483" customFormat="1">
      <c r="B37" s="496"/>
      <c r="C37" s="1506" t="s">
        <v>173</v>
      </c>
      <c r="D37" s="1506"/>
      <c r="E37" s="1507"/>
      <c r="F37" s="495">
        <f>SUM(C31+C32+C33)*E31</f>
        <v>860963.39999999991</v>
      </c>
    </row>
    <row r="38" spans="1:6" s="168" customFormat="1">
      <c r="C38" s="1494" t="s">
        <v>680</v>
      </c>
      <c r="D38" s="1494"/>
      <c r="E38" s="1494"/>
      <c r="F38" s="1494"/>
    </row>
    <row r="39" spans="1:6" s="168" customFormat="1">
      <c r="B39" s="503"/>
      <c r="C39" s="1500" t="s">
        <v>172</v>
      </c>
      <c r="D39" s="1500"/>
      <c r="E39" s="1501"/>
      <c r="F39" s="494">
        <v>2402897</v>
      </c>
    </row>
    <row r="40" spans="1:6" s="168" customFormat="1">
      <c r="B40" s="503"/>
      <c r="C40" s="1500" t="s">
        <v>173</v>
      </c>
      <c r="D40" s="1500"/>
      <c r="E40" s="1501"/>
      <c r="F40" s="499">
        <f>130620*E31</f>
        <v>693592.2</v>
      </c>
    </row>
    <row r="41" spans="1:6" s="168" customFormat="1">
      <c r="A41" s="500"/>
      <c r="B41" s="500"/>
      <c r="C41" s="501"/>
      <c r="D41" s="501"/>
      <c r="E41" s="501"/>
      <c r="F41" s="502"/>
    </row>
    <row r="42" spans="1:6" s="168" customFormat="1">
      <c r="B42" s="503"/>
      <c r="C42" s="1499" t="s">
        <v>177</v>
      </c>
      <c r="D42" s="1500"/>
      <c r="E42" s="1501"/>
      <c r="F42" s="504">
        <f>ROUND(SUM(F34)-F39-F40,0)</f>
        <v>1993610</v>
      </c>
    </row>
    <row r="43" spans="1:6" s="168" customFormat="1">
      <c r="B43" s="503"/>
      <c r="C43" s="1499" t="s">
        <v>171</v>
      </c>
      <c r="D43" s="1500"/>
      <c r="E43" s="1501"/>
      <c r="F43" s="505"/>
    </row>
    <row r="44" spans="1:6" s="168" customFormat="1">
      <c r="B44" s="503"/>
      <c r="C44" s="1499" t="s">
        <v>172</v>
      </c>
      <c r="D44" s="1500"/>
      <c r="E44" s="1501"/>
      <c r="F44" s="506">
        <f>ROUND(SUM(F36-F39),0)</f>
        <v>1826238</v>
      </c>
    </row>
    <row r="45" spans="1:6" s="168" customFormat="1">
      <c r="B45" s="503"/>
      <c r="C45" s="1499" t="s">
        <v>173</v>
      </c>
      <c r="D45" s="1500"/>
      <c r="E45" s="1501"/>
      <c r="F45" s="506">
        <f>ROUND(SUM(F37-F40),0)</f>
        <v>167371</v>
      </c>
    </row>
    <row r="46" spans="1:6">
      <c r="F46" s="508"/>
    </row>
    <row r="47" spans="1:6" s="484" customFormat="1" ht="11.25">
      <c r="A47" s="484" t="s">
        <v>679</v>
      </c>
    </row>
    <row r="49" spans="1:6">
      <c r="A49" s="1486" t="s">
        <v>840</v>
      </c>
      <c r="B49" s="1486"/>
      <c r="C49" s="1486"/>
      <c r="D49" s="1486"/>
      <c r="E49" s="1486"/>
      <c r="F49" s="1486"/>
    </row>
    <row r="50" spans="1:6" ht="25.5">
      <c r="A50" s="188" t="s">
        <v>160</v>
      </c>
      <c r="B50" s="188" t="s">
        <v>161</v>
      </c>
      <c r="C50" s="189" t="s">
        <v>162</v>
      </c>
      <c r="D50" s="189" t="s">
        <v>163</v>
      </c>
      <c r="E50" s="189" t="s">
        <v>164</v>
      </c>
      <c r="F50" s="189" t="s">
        <v>165</v>
      </c>
    </row>
    <row r="51" spans="1:6">
      <c r="A51" s="1497" t="s">
        <v>178</v>
      </c>
      <c r="B51" s="487" t="s">
        <v>167</v>
      </c>
      <c r="C51" s="488">
        <v>6816</v>
      </c>
      <c r="D51" s="487">
        <v>33.36</v>
      </c>
      <c r="E51" s="487">
        <v>5.31</v>
      </c>
      <c r="F51" s="489">
        <f>SUM(C51*D51)+E51*C51</f>
        <v>263574.72000000003</v>
      </c>
    </row>
    <row r="52" spans="1:6">
      <c r="A52" s="1498"/>
      <c r="B52" s="487" t="s">
        <v>168</v>
      </c>
      <c r="C52" s="488">
        <v>78366</v>
      </c>
      <c r="D52" s="487">
        <v>47.06</v>
      </c>
      <c r="E52" s="487">
        <v>5.31</v>
      </c>
      <c r="F52" s="489">
        <f>SUM(C52*D52)+E52*C52</f>
        <v>4104027.42</v>
      </c>
    </row>
    <row r="53" spans="1:6">
      <c r="A53" s="1509"/>
      <c r="B53" s="487" t="s">
        <v>169</v>
      </c>
      <c r="C53" s="488">
        <v>76958</v>
      </c>
      <c r="D53" s="487">
        <v>6.83</v>
      </c>
      <c r="E53" s="487">
        <v>5.31</v>
      </c>
      <c r="F53" s="489">
        <f>SUM(C53*D53)+E53*C53</f>
        <v>934270.12</v>
      </c>
    </row>
    <row r="54" spans="1:6">
      <c r="A54" s="509"/>
      <c r="B54" s="510"/>
      <c r="C54" s="1500" t="s">
        <v>170</v>
      </c>
      <c r="D54" s="1500"/>
      <c r="E54" s="1501"/>
      <c r="F54" s="494">
        <f>SUM(F51:F53)</f>
        <v>5301872.26</v>
      </c>
    </row>
    <row r="55" spans="1:6">
      <c r="A55" s="168"/>
      <c r="B55" s="503"/>
      <c r="C55" s="1503" t="s">
        <v>171</v>
      </c>
      <c r="D55" s="1503"/>
      <c r="E55" s="1504"/>
      <c r="F55" s="494"/>
    </row>
    <row r="56" spans="1:6">
      <c r="A56" s="168"/>
      <c r="B56" s="503"/>
      <c r="C56" s="1503" t="s">
        <v>172</v>
      </c>
      <c r="D56" s="1503"/>
      <c r="E56" s="1504"/>
      <c r="F56" s="494">
        <f>SUM(C51*D51)+(C52*D52)+(C53*D53)</f>
        <v>4440908.8599999994</v>
      </c>
    </row>
    <row r="57" spans="1:6">
      <c r="A57" s="168"/>
      <c r="B57" s="503"/>
      <c r="C57" s="1503" t="s">
        <v>173</v>
      </c>
      <c r="D57" s="1503"/>
      <c r="E57" s="1504"/>
      <c r="F57" s="494">
        <f>SUM(C53+C51+C52)*E51</f>
        <v>860963.39999999991</v>
      </c>
    </row>
    <row r="58" spans="1:6" s="168" customFormat="1">
      <c r="C58" s="1494" t="s">
        <v>680</v>
      </c>
      <c r="D58" s="1494"/>
      <c r="E58" s="1494"/>
      <c r="F58" s="1494"/>
    </row>
    <row r="59" spans="1:6" s="168" customFormat="1">
      <c r="B59" s="503"/>
      <c r="C59" s="1500" t="s">
        <v>172</v>
      </c>
      <c r="D59" s="1500"/>
      <c r="E59" s="1501"/>
      <c r="F59" s="494">
        <v>2402897</v>
      </c>
    </row>
    <row r="60" spans="1:6" s="168" customFormat="1">
      <c r="B60" s="503"/>
      <c r="C60" s="1500" t="s">
        <v>173</v>
      </c>
      <c r="D60" s="1500"/>
      <c r="E60" s="1501"/>
      <c r="F60" s="499">
        <f>130620*E51</f>
        <v>693592.2</v>
      </c>
    </row>
    <row r="61" spans="1:6" s="168" customFormat="1">
      <c r="A61" s="500"/>
      <c r="B61" s="500"/>
      <c r="C61" s="501"/>
      <c r="D61" s="501"/>
      <c r="E61" s="501"/>
      <c r="F61" s="502"/>
    </row>
    <row r="62" spans="1:6" s="168" customFormat="1">
      <c r="B62" s="503"/>
      <c r="C62" s="1512" t="s">
        <v>179</v>
      </c>
      <c r="D62" s="1513"/>
      <c r="E62" s="1514"/>
      <c r="F62" s="504">
        <f>SUM(F54)-F59-F60</f>
        <v>2205383.0599999996</v>
      </c>
    </row>
    <row r="63" spans="1:6" s="168" customFormat="1">
      <c r="B63" s="503"/>
      <c r="C63" s="1499" t="s">
        <v>171</v>
      </c>
      <c r="D63" s="1500"/>
      <c r="E63" s="1501"/>
      <c r="F63" s="505"/>
    </row>
    <row r="64" spans="1:6" s="168" customFormat="1">
      <c r="B64" s="503"/>
      <c r="C64" s="1499" t="s">
        <v>172</v>
      </c>
      <c r="D64" s="1500"/>
      <c r="E64" s="1501"/>
      <c r="F64" s="506">
        <f>SUM(F56-F59)</f>
        <v>2038011.8599999994</v>
      </c>
    </row>
    <row r="65" spans="1:6" s="168" customFormat="1">
      <c r="B65" s="503"/>
      <c r="C65" s="1499" t="s">
        <v>173</v>
      </c>
      <c r="D65" s="1500"/>
      <c r="E65" s="1501"/>
      <c r="F65" s="506">
        <f>SUM(F57-F60)</f>
        <v>167371.19999999995</v>
      </c>
    </row>
    <row r="67" spans="1:6" s="484" customFormat="1" ht="11.25">
      <c r="A67" s="484" t="s">
        <v>679</v>
      </c>
    </row>
  </sheetData>
  <mergeCells count="43">
    <mergeCell ref="C65:E65"/>
    <mergeCell ref="C58:F58"/>
    <mergeCell ref="C59:E59"/>
    <mergeCell ref="C60:E60"/>
    <mergeCell ref="C62:E62"/>
    <mergeCell ref="C63:E63"/>
    <mergeCell ref="C64:E64"/>
    <mergeCell ref="C57:E57"/>
    <mergeCell ref="C39:E39"/>
    <mergeCell ref="C40:E40"/>
    <mergeCell ref="C42:E42"/>
    <mergeCell ref="C43:E43"/>
    <mergeCell ref="C44:E44"/>
    <mergeCell ref="C45:E45"/>
    <mergeCell ref="A49:F49"/>
    <mergeCell ref="A51:A53"/>
    <mergeCell ref="C54:E54"/>
    <mergeCell ref="C55:E55"/>
    <mergeCell ref="C56:E56"/>
    <mergeCell ref="C38:F38"/>
    <mergeCell ref="C22:E22"/>
    <mergeCell ref="C24:E24"/>
    <mergeCell ref="C25:E25"/>
    <mergeCell ref="C26:E26"/>
    <mergeCell ref="C27:E27"/>
    <mergeCell ref="A29:F29"/>
    <mergeCell ref="A31:A33"/>
    <mergeCell ref="A34:E34"/>
    <mergeCell ref="C35:E35"/>
    <mergeCell ref="C36:E36"/>
    <mergeCell ref="C37:E37"/>
    <mergeCell ref="C21:E21"/>
    <mergeCell ref="A3:F3"/>
    <mergeCell ref="A5:B5"/>
    <mergeCell ref="A6:B6"/>
    <mergeCell ref="A7:B7"/>
    <mergeCell ref="A10:F10"/>
    <mergeCell ref="A12:A14"/>
    <mergeCell ref="C15:E15"/>
    <mergeCell ref="C16:E16"/>
    <mergeCell ref="C17:E17"/>
    <mergeCell ref="C18:E18"/>
    <mergeCell ref="C20:F20"/>
  </mergeCells>
  <pageMargins left="0.7" right="0.7" top="0.75" bottom="0.75" header="0.3" footer="0.3"/>
  <pageSetup paperSize="9" scale="73"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K35"/>
  <sheetViews>
    <sheetView view="pageBreakPreview" zoomScaleNormal="100" zoomScaleSheetLayoutView="100" workbookViewId="0">
      <selection activeCell="A4" sqref="A4"/>
    </sheetView>
  </sheetViews>
  <sheetFormatPr defaultColWidth="9.25" defaultRowHeight="12.75"/>
  <cols>
    <col min="1" max="1" width="32.25" style="294" customWidth="1"/>
    <col min="2" max="5" width="19.5" style="294" customWidth="1"/>
    <col min="6" max="10" width="15.5" style="294" customWidth="1"/>
    <col min="11" max="16384" width="9.25" style="294"/>
  </cols>
  <sheetData>
    <row r="1" spans="1:11">
      <c r="J1" s="900" t="s">
        <v>687</v>
      </c>
    </row>
    <row r="2" spans="1:11" ht="15.75">
      <c r="C2" s="791" t="s">
        <v>683</v>
      </c>
    </row>
    <row r="3" spans="1:11">
      <c r="A3" s="656"/>
    </row>
    <row r="4" spans="1:11" ht="99" customHeight="1">
      <c r="A4" s="295" t="s">
        <v>159</v>
      </c>
      <c r="B4" s="295" t="s">
        <v>181</v>
      </c>
      <c r="C4" s="296" t="s">
        <v>1020</v>
      </c>
      <c r="D4" s="296" t="s">
        <v>1021</v>
      </c>
      <c r="E4" s="296" t="s">
        <v>1022</v>
      </c>
      <c r="H4" s="699"/>
      <c r="I4" s="700"/>
    </row>
    <row r="5" spans="1:11" ht="25.5">
      <c r="A5" s="701" t="s">
        <v>55</v>
      </c>
      <c r="B5" s="702">
        <f>(C10*C26)+(C11*C32)+(C12*G26)</f>
        <v>80094.399999999994</v>
      </c>
      <c r="C5" s="703">
        <f>F10+F11+F12</f>
        <v>45675.899999999994</v>
      </c>
      <c r="D5" s="703">
        <f>H10+H11+H12</f>
        <v>54177.2</v>
      </c>
      <c r="E5" s="703">
        <f>J10+J11+J12</f>
        <v>63723.049999999996</v>
      </c>
    </row>
    <row r="8" spans="1:11">
      <c r="E8" s="726"/>
    </row>
    <row r="9" spans="1:11" ht="89.25">
      <c r="A9" s="704" t="s">
        <v>182</v>
      </c>
      <c r="B9" s="299" t="s">
        <v>183</v>
      </c>
      <c r="C9" s="299" t="s">
        <v>184</v>
      </c>
      <c r="D9" s="299" t="s">
        <v>185</v>
      </c>
      <c r="E9" s="299" t="s">
        <v>915</v>
      </c>
      <c r="F9" s="300" t="s">
        <v>1023</v>
      </c>
      <c r="G9" s="299" t="s">
        <v>916</v>
      </c>
      <c r="H9" s="300" t="s">
        <v>1024</v>
      </c>
      <c r="I9" s="299" t="s">
        <v>917</v>
      </c>
      <c r="J9" s="300" t="s">
        <v>1025</v>
      </c>
    </row>
    <row r="10" spans="1:11">
      <c r="A10" s="305" t="s">
        <v>186</v>
      </c>
      <c r="B10" s="298">
        <v>41095</v>
      </c>
      <c r="C10" s="305">
        <v>1.1499999999999999</v>
      </c>
      <c r="D10" s="305">
        <v>1</v>
      </c>
      <c r="E10" s="705">
        <f>ROUND(B16*0.5,0)-C26</f>
        <v>27430</v>
      </c>
      <c r="F10" s="306">
        <f>C10*D10*E10</f>
        <v>31544.499999999996</v>
      </c>
      <c r="G10" s="705">
        <f>ROUND(B16*0.55,0)-C26</f>
        <v>34600</v>
      </c>
      <c r="H10" s="306">
        <f>G10*C10</f>
        <v>39790</v>
      </c>
      <c r="I10" s="705">
        <f>ROUND(B16*0.6,0)-C26</f>
        <v>41771</v>
      </c>
      <c r="J10" s="306">
        <f>I10*C10</f>
        <v>48036.649999999994</v>
      </c>
      <c r="K10" s="706"/>
    </row>
    <row r="11" spans="1:11">
      <c r="A11" s="305" t="s">
        <v>906</v>
      </c>
      <c r="B11" s="298" t="s">
        <v>187</v>
      </c>
      <c r="C11" s="707">
        <v>6.6</v>
      </c>
      <c r="D11" s="305">
        <v>1</v>
      </c>
      <c r="E11" s="307">
        <f>ROUND(((B16-C32)*0.016)*0.5,0)</f>
        <v>1129</v>
      </c>
      <c r="F11" s="306">
        <f>C11*E11*D11</f>
        <v>7451.4</v>
      </c>
      <c r="G11" s="708">
        <f>ROUND(((B16-C32)*0.016)*0.55,0)</f>
        <v>1242</v>
      </c>
      <c r="H11" s="709">
        <f>G11*C11</f>
        <v>8197.1999999999989</v>
      </c>
      <c r="I11" s="710">
        <f>ROUND(((B16-C32)*0.016)*0.6,0)</f>
        <v>1354</v>
      </c>
      <c r="J11" s="306">
        <f>C11*I11</f>
        <v>8936.4</v>
      </c>
    </row>
    <row r="12" spans="1:11">
      <c r="A12" s="305" t="s">
        <v>907</v>
      </c>
      <c r="B12" s="298" t="s">
        <v>908</v>
      </c>
      <c r="C12" s="707">
        <v>5</v>
      </c>
      <c r="D12" s="305">
        <v>1</v>
      </c>
      <c r="E12" s="307">
        <f>ROUND(((B16-G26)*0.019)*0.5,0)</f>
        <v>1336</v>
      </c>
      <c r="F12" s="306">
        <f>C12*D12*E12</f>
        <v>6680</v>
      </c>
      <c r="G12" s="708">
        <f>ROUND(((B16-G26)*0.016)*0.55,0)</f>
        <v>1238</v>
      </c>
      <c r="H12" s="306">
        <f>G12*C12</f>
        <v>6190</v>
      </c>
      <c r="I12" s="710">
        <f>ROUND(((B16-G26)*0.016)*0.6,0)</f>
        <v>1350</v>
      </c>
      <c r="J12" s="306">
        <f>I12*C12</f>
        <v>6750</v>
      </c>
    </row>
    <row r="13" spans="1:11">
      <c r="A13" s="294" t="s">
        <v>909</v>
      </c>
      <c r="E13" s="1012"/>
      <c r="F13" s="711">
        <f>F10+F11+F12</f>
        <v>45675.899999999994</v>
      </c>
      <c r="H13" s="711">
        <f>H10+H11+H12</f>
        <v>54177.2</v>
      </c>
      <c r="J13" s="711">
        <f>J10+J11+J12</f>
        <v>63723.049999999996</v>
      </c>
    </row>
    <row r="14" spans="1:11">
      <c r="A14" s="294" t="s">
        <v>910</v>
      </c>
    </row>
    <row r="15" spans="1:11">
      <c r="D15" s="1015"/>
    </row>
    <row r="16" spans="1:11">
      <c r="A16" s="618" t="s">
        <v>188</v>
      </c>
      <c r="B16" s="718">
        <v>143411</v>
      </c>
    </row>
    <row r="17" spans="1:9" ht="25.5">
      <c r="A17" s="618" t="s">
        <v>189</v>
      </c>
      <c r="B17" s="718">
        <f>ROUND(0.1*143411,0)</f>
        <v>14341</v>
      </c>
      <c r="D17" s="712"/>
      <c r="F17" s="712"/>
    </row>
    <row r="19" spans="1:9">
      <c r="A19" s="656" t="s">
        <v>190</v>
      </c>
      <c r="E19" s="656" t="s">
        <v>911</v>
      </c>
    </row>
    <row r="20" spans="1:9">
      <c r="A20" s="713" t="s">
        <v>183</v>
      </c>
      <c r="B20" s="713" t="s">
        <v>191</v>
      </c>
      <c r="C20" s="713" t="s">
        <v>192</v>
      </c>
      <c r="E20" s="713" t="s">
        <v>183</v>
      </c>
      <c r="F20" s="713" t="s">
        <v>191</v>
      </c>
      <c r="G20" s="713" t="s">
        <v>192</v>
      </c>
      <c r="H20" s="1016"/>
      <c r="I20" s="1016"/>
    </row>
    <row r="21" spans="1:9" ht="14.65" customHeight="1">
      <c r="A21" s="1515">
        <v>41095</v>
      </c>
      <c r="B21" s="714">
        <v>35</v>
      </c>
      <c r="C21" s="719">
        <v>8136</v>
      </c>
      <c r="E21" s="1515" t="s">
        <v>912</v>
      </c>
      <c r="F21" s="714">
        <v>35</v>
      </c>
      <c r="G21" s="719">
        <v>489</v>
      </c>
      <c r="H21" s="1016"/>
      <c r="I21" s="1016"/>
    </row>
    <row r="22" spans="1:9" ht="14.65" customHeight="1">
      <c r="A22" s="1516"/>
      <c r="B22" s="714">
        <v>36</v>
      </c>
      <c r="C22" s="719">
        <v>8750</v>
      </c>
      <c r="E22" s="1516"/>
      <c r="F22" s="714">
        <v>36</v>
      </c>
      <c r="G22" s="719">
        <v>553</v>
      </c>
      <c r="H22" s="1016"/>
      <c r="I22" s="1016"/>
    </row>
    <row r="23" spans="1:9" ht="14.65" customHeight="1">
      <c r="A23" s="1516"/>
      <c r="B23" s="714">
        <v>37</v>
      </c>
      <c r="C23" s="719">
        <v>9210</v>
      </c>
      <c r="E23" s="1516"/>
      <c r="F23" s="714">
        <v>37</v>
      </c>
      <c r="G23" s="719">
        <v>610</v>
      </c>
      <c r="H23" s="1016"/>
      <c r="I23" s="1016"/>
    </row>
    <row r="24" spans="1:9" ht="14.65" customHeight="1">
      <c r="A24" s="1516"/>
      <c r="B24" s="714">
        <v>38</v>
      </c>
      <c r="C24" s="719">
        <v>9135</v>
      </c>
      <c r="E24" s="1516"/>
      <c r="F24" s="714">
        <v>38</v>
      </c>
      <c r="G24" s="719">
        <v>561</v>
      </c>
      <c r="H24" s="1016"/>
      <c r="I24" s="1016"/>
    </row>
    <row r="25" spans="1:9" ht="14.65" customHeight="1">
      <c r="A25" s="1516"/>
      <c r="B25" s="714">
        <v>39</v>
      </c>
      <c r="C25" s="719">
        <v>9045</v>
      </c>
      <c r="E25" s="1516"/>
      <c r="F25" s="714">
        <v>39</v>
      </c>
      <c r="G25" s="719">
        <v>560</v>
      </c>
      <c r="H25" s="1016"/>
      <c r="I25" s="1016"/>
    </row>
    <row r="26" spans="1:9" ht="14.65" customHeight="1" thickBot="1">
      <c r="A26" s="1517"/>
      <c r="B26" s="715" t="s">
        <v>193</v>
      </c>
      <c r="C26" s="720">
        <f>SUM(C21:C25)</f>
        <v>44276</v>
      </c>
      <c r="E26" s="1517"/>
      <c r="F26" s="715" t="s">
        <v>193</v>
      </c>
      <c r="G26" s="720">
        <f>SUM(G21:G25)</f>
        <v>2773</v>
      </c>
      <c r="H26" s="1016"/>
      <c r="I26" s="1016"/>
    </row>
    <row r="27" spans="1:9">
      <c r="A27" s="1518">
        <v>41096</v>
      </c>
      <c r="B27" s="716">
        <v>35</v>
      </c>
      <c r="C27" s="721">
        <v>552</v>
      </c>
      <c r="E27" s="1016"/>
      <c r="F27" s="1016"/>
      <c r="G27" s="1016"/>
      <c r="H27" s="1016"/>
      <c r="I27" s="1016"/>
    </row>
    <row r="28" spans="1:9" ht="14.65" customHeight="1">
      <c r="A28" s="1516"/>
      <c r="B28" s="714">
        <v>36</v>
      </c>
      <c r="C28" s="719">
        <v>528</v>
      </c>
      <c r="F28" s="1016"/>
      <c r="G28" s="1016"/>
      <c r="H28" s="1016"/>
      <c r="I28" s="1016"/>
    </row>
    <row r="29" spans="1:9" ht="14.65" customHeight="1">
      <c r="A29" s="1516"/>
      <c r="B29" s="714">
        <v>37</v>
      </c>
      <c r="C29" s="719">
        <v>455</v>
      </c>
      <c r="E29" s="1016"/>
      <c r="F29" s="1016"/>
      <c r="G29" s="1016"/>
      <c r="H29" s="1016"/>
      <c r="I29" s="1016"/>
    </row>
    <row r="30" spans="1:9" ht="14.65" customHeight="1">
      <c r="A30" s="1516"/>
      <c r="B30" s="714">
        <v>38</v>
      </c>
      <c r="C30" s="719">
        <v>411</v>
      </c>
      <c r="E30" s="1016"/>
      <c r="F30" s="1016"/>
      <c r="G30" s="1016"/>
      <c r="H30" s="1016"/>
      <c r="I30" s="1016"/>
    </row>
    <row r="31" spans="1:9" ht="14.65" customHeight="1">
      <c r="A31" s="1516"/>
      <c r="B31" s="714">
        <v>39</v>
      </c>
      <c r="C31" s="719">
        <v>374</v>
      </c>
      <c r="E31" s="1016"/>
      <c r="F31" s="1016"/>
      <c r="G31" s="1016"/>
      <c r="H31" s="1016"/>
      <c r="I31" s="1016"/>
    </row>
    <row r="32" spans="1:9" ht="14.65" customHeight="1">
      <c r="A32" s="1516"/>
      <c r="B32" s="717" t="s">
        <v>193</v>
      </c>
      <c r="C32" s="722">
        <f>SUM(C27:C31)</f>
        <v>2320</v>
      </c>
      <c r="E32" s="1016"/>
      <c r="F32" s="1016"/>
      <c r="G32" s="1016"/>
      <c r="H32" s="1016"/>
      <c r="I32" s="1016"/>
    </row>
    <row r="33" spans="1:9" ht="14.65" customHeight="1">
      <c r="A33" s="1017"/>
      <c r="B33" s="1018"/>
      <c r="C33" s="1019"/>
      <c r="E33" s="1016"/>
      <c r="F33" s="1016"/>
      <c r="G33" s="1016"/>
      <c r="H33" s="1016"/>
      <c r="I33" s="1016"/>
    </row>
    <row r="34" spans="1:9" ht="14.65" customHeight="1">
      <c r="A34" s="1020"/>
      <c r="E34" s="1016"/>
      <c r="F34" s="1016"/>
      <c r="G34" s="1016"/>
      <c r="H34" s="1016"/>
      <c r="I34" s="1016"/>
    </row>
    <row r="35" spans="1:9">
      <c r="E35" s="1016"/>
      <c r="F35" s="1016"/>
      <c r="G35" s="1016"/>
      <c r="H35" s="1016"/>
      <c r="I35" s="1016"/>
    </row>
  </sheetData>
  <mergeCells count="3">
    <mergeCell ref="A21:A26"/>
    <mergeCell ref="E21:E26"/>
    <mergeCell ref="A27:A32"/>
  </mergeCells>
  <pageMargins left="0.7" right="0.7" top="0.75" bottom="0.75" header="0.3" footer="0.3"/>
  <pageSetup paperSize="9" scale="4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6"/>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K1" s="900" t="s">
        <v>686</v>
      </c>
    </row>
    <row r="2" spans="1:13">
      <c r="A2" s="1520" t="s">
        <v>59</v>
      </c>
      <c r="B2" s="1520"/>
      <c r="C2" s="1520"/>
      <c r="D2" s="901"/>
    </row>
    <row r="3" spans="1:13">
      <c r="A3" s="1476" t="s">
        <v>1</v>
      </c>
      <c r="B3" s="1478" t="s">
        <v>1039</v>
      </c>
      <c r="C3" s="1479"/>
      <c r="D3" s="901"/>
    </row>
    <row r="4" spans="1:13">
      <c r="A4" s="1477"/>
      <c r="B4" s="902" t="s">
        <v>653</v>
      </c>
      <c r="C4" s="903" t="s">
        <v>654</v>
      </c>
      <c r="D4" s="904"/>
    </row>
    <row r="5" spans="1:13" ht="25.5">
      <c r="A5" s="905" t="s">
        <v>59</v>
      </c>
      <c r="B5" s="906">
        <f>30000*1.21</f>
        <v>36300</v>
      </c>
      <c r="C5" s="488">
        <v>0</v>
      </c>
      <c r="D5" s="904"/>
    </row>
    <row r="6" spans="1:13" ht="59.25" customHeight="1">
      <c r="A6" s="1519" t="s">
        <v>1089</v>
      </c>
      <c r="B6" s="1519"/>
      <c r="C6" s="1519"/>
      <c r="D6" s="904"/>
    </row>
    <row r="7" spans="1:13">
      <c r="A7" s="1521"/>
      <c r="B7" s="1521"/>
      <c r="C7" s="1521"/>
    </row>
    <row r="9" spans="1:13">
      <c r="J9" s="1522"/>
      <c r="K9" s="1522"/>
    </row>
    <row r="10" spans="1:13">
      <c r="A10" s="1520" t="s">
        <v>59</v>
      </c>
      <c r="B10" s="1520"/>
      <c r="C10" s="1520"/>
      <c r="D10" s="1520"/>
      <c r="E10" s="1520"/>
      <c r="F10" s="1520"/>
      <c r="G10" s="1520"/>
      <c r="H10" s="1520"/>
      <c r="I10" s="1520"/>
      <c r="J10" s="1520"/>
      <c r="K10" s="1520"/>
    </row>
    <row r="11" spans="1:13" ht="51">
      <c r="A11" s="907"/>
      <c r="B11" s="908" t="s">
        <v>1</v>
      </c>
      <c r="C11" s="908" t="s">
        <v>2</v>
      </c>
      <c r="D11" s="902" t="s">
        <v>3</v>
      </c>
      <c r="E11" s="902" t="s">
        <v>655</v>
      </c>
      <c r="F11" s="902" t="s">
        <v>656</v>
      </c>
      <c r="G11" s="902" t="s">
        <v>657</v>
      </c>
      <c r="H11" s="902" t="s">
        <v>658</v>
      </c>
      <c r="I11" s="902" t="s">
        <v>659</v>
      </c>
      <c r="J11" s="902" t="s">
        <v>660</v>
      </c>
      <c r="K11" s="902" t="s">
        <v>661</v>
      </c>
    </row>
    <row r="12" spans="1:13">
      <c r="A12" s="1523" t="s">
        <v>663</v>
      </c>
      <c r="B12" s="1523" t="s">
        <v>59</v>
      </c>
      <c r="C12" s="1524"/>
      <c r="D12" s="1524"/>
      <c r="E12" s="908" t="s">
        <v>664</v>
      </c>
      <c r="F12" s="906">
        <v>1</v>
      </c>
      <c r="G12" s="906">
        <v>13950</v>
      </c>
      <c r="H12" s="906">
        <f>F12*G12</f>
        <v>13950</v>
      </c>
      <c r="I12" s="906">
        <v>21</v>
      </c>
      <c r="J12" s="906">
        <f>G12*1.21</f>
        <v>16879.5</v>
      </c>
      <c r="K12" s="906">
        <f>F12*J12</f>
        <v>16879.5</v>
      </c>
      <c r="M12" s="911"/>
    </row>
    <row r="13" spans="1:13">
      <c r="A13" s="1523"/>
      <c r="B13" s="1523"/>
      <c r="C13" s="1524"/>
      <c r="D13" s="1524"/>
      <c r="E13" s="908" t="s">
        <v>665</v>
      </c>
      <c r="F13" s="906">
        <v>1</v>
      </c>
      <c r="G13" s="906">
        <v>13950</v>
      </c>
      <c r="H13" s="906">
        <f t="shared" ref="H13:H14" si="0">F13*G13</f>
        <v>13950</v>
      </c>
      <c r="I13" s="906">
        <v>21</v>
      </c>
      <c r="J13" s="906">
        <f t="shared" ref="J13:J14" si="1">G13*1.21</f>
        <v>16879.5</v>
      </c>
      <c r="K13" s="906">
        <f t="shared" ref="K13:K14" si="2">F13*J13</f>
        <v>16879.5</v>
      </c>
      <c r="M13" s="911"/>
    </row>
    <row r="14" spans="1:13">
      <c r="A14" s="1523"/>
      <c r="B14" s="1523"/>
      <c r="C14" s="1524"/>
      <c r="D14" s="1524"/>
      <c r="E14" s="908" t="s">
        <v>666</v>
      </c>
      <c r="F14" s="906">
        <v>3</v>
      </c>
      <c r="G14" s="906">
        <v>700</v>
      </c>
      <c r="H14" s="906">
        <f t="shared" si="0"/>
        <v>2100</v>
      </c>
      <c r="I14" s="906">
        <v>21</v>
      </c>
      <c r="J14" s="906">
        <f t="shared" si="1"/>
        <v>847</v>
      </c>
      <c r="K14" s="906">
        <f t="shared" si="2"/>
        <v>2541</v>
      </c>
      <c r="M14" s="911"/>
    </row>
    <row r="15" spans="1:13">
      <c r="A15" s="487"/>
      <c r="B15" s="487"/>
      <c r="C15" s="487"/>
      <c r="D15" s="487"/>
      <c r="E15" s="487"/>
      <c r="F15" s="487"/>
      <c r="G15" s="487"/>
      <c r="H15" s="912">
        <f>SUM(H12:H14)</f>
        <v>30000</v>
      </c>
      <c r="I15" s="487"/>
      <c r="J15" s="912"/>
      <c r="K15" s="906">
        <f>SUM(K12:K14)</f>
        <v>36300</v>
      </c>
    </row>
    <row r="16" spans="1:13" ht="36.75" customHeight="1">
      <c r="A16" s="1519" t="s">
        <v>1089</v>
      </c>
      <c r="B16" s="1519"/>
      <c r="C16" s="1519"/>
      <c r="D16" s="1519"/>
      <c r="E16" s="1519"/>
      <c r="F16" s="1519"/>
      <c r="G16" s="1519"/>
      <c r="H16" s="1519"/>
      <c r="I16" s="1519"/>
      <c r="J16" s="1519"/>
      <c r="K16" s="1519"/>
    </row>
  </sheetData>
  <mergeCells count="12">
    <mergeCell ref="A16:K16"/>
    <mergeCell ref="A2:C2"/>
    <mergeCell ref="A3:A4"/>
    <mergeCell ref="B3:C3"/>
    <mergeCell ref="A6:C6"/>
    <mergeCell ref="A7:C7"/>
    <mergeCell ref="J9:K9"/>
    <mergeCell ref="A10:K10"/>
    <mergeCell ref="A12:A14"/>
    <mergeCell ref="B12:B14"/>
    <mergeCell ref="C12:C14"/>
    <mergeCell ref="D12:D14"/>
  </mergeCells>
  <pageMargins left="0.7" right="0.7" top="0.75" bottom="0.75" header="0.3" footer="0.3"/>
  <pageSetup paperSize="9" scale="44" orientation="portrait"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65"/>
  <sheetViews>
    <sheetView zoomScaleNormal="100" workbookViewId="0">
      <selection activeCell="A4" sqref="A4"/>
    </sheetView>
  </sheetViews>
  <sheetFormatPr defaultColWidth="9.125" defaultRowHeight="12.75"/>
  <cols>
    <col min="1" max="1" width="24.125" style="294" customWidth="1"/>
    <col min="2" max="2" width="24.25" style="294" customWidth="1"/>
    <col min="3" max="3" width="22.75" style="294" customWidth="1"/>
    <col min="4" max="4" width="17.25" style="294" customWidth="1"/>
    <col min="5" max="5" width="19.75" style="294" customWidth="1"/>
    <col min="6" max="6" width="20" style="294" customWidth="1"/>
    <col min="7" max="10" width="18.125" style="294" customWidth="1"/>
    <col min="11" max="11" width="21.75" style="294" customWidth="1"/>
    <col min="12" max="12" width="20" style="294" customWidth="1"/>
    <col min="13" max="13" width="19.5" style="294" customWidth="1"/>
    <col min="14" max="16384" width="9.125" style="294"/>
  </cols>
  <sheetData>
    <row r="1" spans="1:13">
      <c r="M1" s="166" t="s">
        <v>689</v>
      </c>
    </row>
    <row r="2" spans="1:13" ht="15.75">
      <c r="B2" s="927" t="s">
        <v>723</v>
      </c>
      <c r="C2" s="446"/>
      <c r="D2" s="446"/>
      <c r="E2" s="926"/>
    </row>
    <row r="4" spans="1:13" ht="82.5" customHeight="1">
      <c r="A4" s="295" t="s">
        <v>159</v>
      </c>
      <c r="B4" s="296" t="s">
        <v>194</v>
      </c>
      <c r="C4" s="296" t="s">
        <v>1013</v>
      </c>
      <c r="D4" s="296" t="s">
        <v>1017</v>
      </c>
      <c r="E4" s="296" t="s">
        <v>1026</v>
      </c>
      <c r="F4" s="296" t="s">
        <v>1027</v>
      </c>
    </row>
    <row r="5" spans="1:13" ht="40.5" customHeight="1">
      <c r="A5" s="297" t="s">
        <v>55</v>
      </c>
      <c r="B5" s="723">
        <f>ROUND(C12*88,0)</f>
        <v>356</v>
      </c>
      <c r="C5" s="445">
        <f>ROUND(G12,0)</f>
        <v>756702</v>
      </c>
      <c r="D5" s="445">
        <f>ROUND(I12,0)</f>
        <v>544105</v>
      </c>
      <c r="E5" s="445">
        <f>ROUND(K12,0)</f>
        <v>398164</v>
      </c>
      <c r="F5" s="445">
        <f>ROUND(M12,0)</f>
        <v>297436</v>
      </c>
    </row>
    <row r="6" spans="1:13">
      <c r="A6" s="724"/>
      <c r="C6" s="725"/>
      <c r="D6" s="725"/>
      <c r="E6" s="725"/>
    </row>
    <row r="7" spans="1:13" s="726" customFormat="1">
      <c r="A7" s="726" t="s">
        <v>685</v>
      </c>
      <c r="B7" s="294"/>
    </row>
    <row r="11" spans="1:13" ht="51">
      <c r="A11" s="295" t="s">
        <v>183</v>
      </c>
      <c r="B11" s="295" t="s">
        <v>182</v>
      </c>
      <c r="C11" s="304" t="s">
        <v>195</v>
      </c>
      <c r="D11" s="304" t="s">
        <v>196</v>
      </c>
      <c r="E11" s="304" t="s">
        <v>197</v>
      </c>
      <c r="F11" s="299" t="s">
        <v>198</v>
      </c>
      <c r="G11" s="300" t="s">
        <v>1028</v>
      </c>
      <c r="H11" s="299" t="s">
        <v>845</v>
      </c>
      <c r="I11" s="300" t="s">
        <v>1029</v>
      </c>
      <c r="J11" s="300" t="s">
        <v>846</v>
      </c>
      <c r="K11" s="300" t="s">
        <v>1030</v>
      </c>
      <c r="L11" s="300" t="s">
        <v>847</v>
      </c>
      <c r="M11" s="300" t="s">
        <v>1031</v>
      </c>
    </row>
    <row r="12" spans="1:13" ht="36" customHeight="1">
      <c r="A12" s="728">
        <v>41051</v>
      </c>
      <c r="B12" s="728" t="s">
        <v>199</v>
      </c>
      <c r="C12" s="301">
        <v>4.05</v>
      </c>
      <c r="D12" s="302">
        <f>P9</f>
        <v>0</v>
      </c>
      <c r="E12" s="303">
        <v>1</v>
      </c>
      <c r="F12" s="727">
        <f>C16</f>
        <v>186840</v>
      </c>
      <c r="G12" s="727">
        <f>F12*C12</f>
        <v>756702</v>
      </c>
      <c r="H12" s="727">
        <f>C17</f>
        <v>134347</v>
      </c>
      <c r="I12" s="915">
        <f>ROUND(H12*C12,0)</f>
        <v>544105</v>
      </c>
      <c r="J12" s="727">
        <f>C18</f>
        <v>98312</v>
      </c>
      <c r="K12" s="916">
        <f>ROUND(J12*C12,0)</f>
        <v>398164</v>
      </c>
      <c r="L12" s="314">
        <f>C19</f>
        <v>73441</v>
      </c>
      <c r="M12" s="727">
        <f>L12*C12</f>
        <v>297436.05</v>
      </c>
    </row>
    <row r="13" spans="1:13">
      <c r="A13" s="294" t="s">
        <v>200</v>
      </c>
    </row>
    <row r="14" spans="1:13">
      <c r="H14" s="312"/>
    </row>
    <row r="15" spans="1:13">
      <c r="A15" s="298" t="s">
        <v>201</v>
      </c>
      <c r="B15" s="298" t="s">
        <v>202</v>
      </c>
      <c r="C15" s="298" t="s">
        <v>203</v>
      </c>
      <c r="D15" s="305" t="s">
        <v>204</v>
      </c>
      <c r="H15" s="312"/>
    </row>
    <row r="16" spans="1:13">
      <c r="A16" s="305">
        <v>2027</v>
      </c>
      <c r="B16" s="305" t="s">
        <v>205</v>
      </c>
      <c r="C16" s="309">
        <f>SUM(E29:E64)</f>
        <v>186840</v>
      </c>
      <c r="D16" s="313">
        <f>$C$12*C16</f>
        <v>756702</v>
      </c>
      <c r="H16" s="311"/>
    </row>
    <row r="17" spans="1:12">
      <c r="A17" s="305">
        <v>2028</v>
      </c>
      <c r="B17" s="305" t="s">
        <v>206</v>
      </c>
      <c r="C17" s="309">
        <f>SUM(G29:G63)+E28</f>
        <v>134347</v>
      </c>
      <c r="D17" s="313">
        <f t="shared" ref="D17:D19" si="0">$C$12*C17</f>
        <v>544105.35</v>
      </c>
      <c r="E17" s="294" t="s">
        <v>848</v>
      </c>
    </row>
    <row r="18" spans="1:12">
      <c r="A18" s="305">
        <v>2029</v>
      </c>
      <c r="B18" s="305" t="s">
        <v>207</v>
      </c>
      <c r="C18" s="309">
        <f>SUM(I29:I62)+G28+E27</f>
        <v>98312</v>
      </c>
      <c r="D18" s="313">
        <f t="shared" si="0"/>
        <v>398163.6</v>
      </c>
      <c r="E18" s="294" t="s">
        <v>849</v>
      </c>
    </row>
    <row r="19" spans="1:12">
      <c r="A19" s="305">
        <v>2030</v>
      </c>
      <c r="B19" s="305" t="s">
        <v>208</v>
      </c>
      <c r="C19" s="309">
        <f>SUM(K29:K61)+I28+G27+E26</f>
        <v>73441</v>
      </c>
      <c r="D19" s="313">
        <f t="shared" si="0"/>
        <v>297436.05</v>
      </c>
    </row>
    <row r="20" spans="1:12">
      <c r="A20" s="1012"/>
      <c r="B20" s="1012"/>
      <c r="C20" s="1013"/>
      <c r="D20" s="1014"/>
      <c r="E20" s="1012"/>
      <c r="F20" s="1012"/>
    </row>
    <row r="23" spans="1:12" ht="15" customHeight="1">
      <c r="A23" s="1526" t="s">
        <v>209</v>
      </c>
      <c r="B23" s="1526"/>
      <c r="C23" s="1525">
        <v>2026</v>
      </c>
      <c r="D23" s="1525"/>
      <c r="E23" s="1525">
        <v>2027</v>
      </c>
      <c r="F23" s="1525"/>
      <c r="G23" s="1525">
        <v>2028</v>
      </c>
      <c r="H23" s="1525"/>
      <c r="I23" s="1525">
        <v>2029</v>
      </c>
      <c r="J23" s="1525"/>
      <c r="K23" s="1525">
        <v>2030</v>
      </c>
      <c r="L23" s="1525"/>
    </row>
    <row r="24" spans="1:12">
      <c r="A24" s="1526"/>
      <c r="B24" s="1526"/>
      <c r="C24" s="308">
        <v>0.3</v>
      </c>
      <c r="D24" s="308">
        <v>0.7</v>
      </c>
      <c r="E24" s="308">
        <v>0.3</v>
      </c>
      <c r="F24" s="308">
        <v>0.7</v>
      </c>
      <c r="G24" s="308">
        <v>0.3</v>
      </c>
      <c r="H24" s="308">
        <v>0.7</v>
      </c>
      <c r="I24" s="308">
        <v>0.3</v>
      </c>
      <c r="J24" s="308">
        <v>0.7</v>
      </c>
      <c r="K24" s="308">
        <v>0.3</v>
      </c>
      <c r="L24" s="308">
        <v>0.7</v>
      </c>
    </row>
    <row r="25" spans="1:12">
      <c r="A25" s="306" t="s">
        <v>210</v>
      </c>
      <c r="B25" s="307">
        <v>27470</v>
      </c>
      <c r="C25" s="307">
        <f>ROUND(B25*0.3,0)</f>
        <v>8241</v>
      </c>
      <c r="D25" s="307">
        <f>B25-C25</f>
        <v>19229</v>
      </c>
      <c r="E25" s="307">
        <f>ROUND(D25*0.3,0)</f>
        <v>5769</v>
      </c>
      <c r="F25" s="309">
        <f>D25-E25</f>
        <v>13460</v>
      </c>
      <c r="G25" s="307">
        <f>ROUND(F25*0.3,0)</f>
        <v>4038</v>
      </c>
      <c r="H25" s="307">
        <f>F25-G25</f>
        <v>9422</v>
      </c>
      <c r="I25" s="307">
        <f>ROUND(H25*0.3,0)</f>
        <v>2827</v>
      </c>
      <c r="J25" s="309">
        <f>H25-I25</f>
        <v>6595</v>
      </c>
      <c r="K25" s="310">
        <f>ROUND(J25*0.3,0)</f>
        <v>1979</v>
      </c>
      <c r="L25" s="309">
        <f>J25-K25</f>
        <v>4616</v>
      </c>
    </row>
    <row r="26" spans="1:12">
      <c r="A26" s="306" t="s">
        <v>211</v>
      </c>
      <c r="B26" s="307">
        <v>28696</v>
      </c>
      <c r="C26" s="307">
        <f t="shared" ref="C26:C65" si="1">ROUND(B26*0.3,0)</f>
        <v>8609</v>
      </c>
      <c r="D26" s="307">
        <f t="shared" ref="D26:D65" si="2">B26-C26</f>
        <v>20087</v>
      </c>
      <c r="E26" s="307">
        <f t="shared" ref="E26:E65" si="3">ROUND(D26*0.3,0)</f>
        <v>6026</v>
      </c>
      <c r="F26" s="309">
        <f t="shared" ref="F26:F65" si="4">D26-E26</f>
        <v>14061</v>
      </c>
      <c r="G26" s="307">
        <f t="shared" ref="G26:G65" si="5">ROUND(F26*0.3,0)</f>
        <v>4218</v>
      </c>
      <c r="H26" s="307">
        <f t="shared" ref="H26:H65" si="6">F26-G26</f>
        <v>9843</v>
      </c>
      <c r="I26" s="307">
        <f t="shared" ref="I26:I65" si="7">ROUND(H26*0.3,0)</f>
        <v>2953</v>
      </c>
      <c r="J26" s="309">
        <f t="shared" ref="J26:J65" si="8">H26-I26</f>
        <v>6890</v>
      </c>
      <c r="K26" s="310">
        <f t="shared" ref="K26:K65" si="9">ROUND(J26*0.3,0)</f>
        <v>2067</v>
      </c>
      <c r="L26" s="309">
        <f t="shared" ref="L26:L65" si="10">J26-K26</f>
        <v>4823</v>
      </c>
    </row>
    <row r="27" spans="1:12">
      <c r="A27" s="306" t="s">
        <v>212</v>
      </c>
      <c r="B27" s="307">
        <v>29540</v>
      </c>
      <c r="C27" s="307">
        <f t="shared" si="1"/>
        <v>8862</v>
      </c>
      <c r="D27" s="307">
        <f t="shared" si="2"/>
        <v>20678</v>
      </c>
      <c r="E27" s="307">
        <f t="shared" si="3"/>
        <v>6203</v>
      </c>
      <c r="F27" s="309">
        <f t="shared" si="4"/>
        <v>14475</v>
      </c>
      <c r="G27" s="307">
        <f t="shared" si="5"/>
        <v>4343</v>
      </c>
      <c r="H27" s="307">
        <f t="shared" si="6"/>
        <v>10132</v>
      </c>
      <c r="I27" s="307">
        <f t="shared" si="7"/>
        <v>3040</v>
      </c>
      <c r="J27" s="309">
        <f t="shared" si="8"/>
        <v>7092</v>
      </c>
      <c r="K27" s="310">
        <f t="shared" si="9"/>
        <v>2128</v>
      </c>
      <c r="L27" s="309">
        <f t="shared" si="10"/>
        <v>4964</v>
      </c>
    </row>
    <row r="28" spans="1:12">
      <c r="A28" s="306" t="s">
        <v>213</v>
      </c>
      <c r="B28" s="307">
        <v>29410</v>
      </c>
      <c r="C28" s="307">
        <f t="shared" si="1"/>
        <v>8823</v>
      </c>
      <c r="D28" s="307">
        <f t="shared" si="2"/>
        <v>20587</v>
      </c>
      <c r="E28" s="307">
        <f t="shared" si="3"/>
        <v>6176</v>
      </c>
      <c r="F28" s="309">
        <f t="shared" si="4"/>
        <v>14411</v>
      </c>
      <c r="G28" s="307">
        <f t="shared" si="5"/>
        <v>4323</v>
      </c>
      <c r="H28" s="307">
        <f t="shared" si="6"/>
        <v>10088</v>
      </c>
      <c r="I28" s="307">
        <f t="shared" si="7"/>
        <v>3026</v>
      </c>
      <c r="J28" s="309">
        <f t="shared" si="8"/>
        <v>7062</v>
      </c>
      <c r="K28" s="310">
        <f t="shared" si="9"/>
        <v>2119</v>
      </c>
      <c r="L28" s="309">
        <f t="shared" si="10"/>
        <v>4943</v>
      </c>
    </row>
    <row r="29" spans="1:12">
      <c r="A29" s="306" t="s">
        <v>214</v>
      </c>
      <c r="B29" s="307">
        <v>28295</v>
      </c>
      <c r="C29" s="307">
        <f t="shared" si="1"/>
        <v>8489</v>
      </c>
      <c r="D29" s="307">
        <f t="shared" si="2"/>
        <v>19806</v>
      </c>
      <c r="E29" s="307">
        <f t="shared" si="3"/>
        <v>5942</v>
      </c>
      <c r="F29" s="309">
        <f t="shared" si="4"/>
        <v>13864</v>
      </c>
      <c r="G29" s="307">
        <f t="shared" si="5"/>
        <v>4159</v>
      </c>
      <c r="H29" s="307">
        <f t="shared" si="6"/>
        <v>9705</v>
      </c>
      <c r="I29" s="307">
        <f t="shared" si="7"/>
        <v>2912</v>
      </c>
      <c r="J29" s="309">
        <f t="shared" si="8"/>
        <v>6793</v>
      </c>
      <c r="K29" s="310">
        <f t="shared" si="9"/>
        <v>2038</v>
      </c>
      <c r="L29" s="309">
        <f t="shared" si="10"/>
        <v>4755</v>
      </c>
    </row>
    <row r="30" spans="1:12">
      <c r="A30" s="306" t="s">
        <v>215</v>
      </c>
      <c r="B30" s="307">
        <v>28492</v>
      </c>
      <c r="C30" s="307">
        <f t="shared" si="1"/>
        <v>8548</v>
      </c>
      <c r="D30" s="307">
        <f t="shared" si="2"/>
        <v>19944</v>
      </c>
      <c r="E30" s="307">
        <f t="shared" si="3"/>
        <v>5983</v>
      </c>
      <c r="F30" s="309">
        <f t="shared" si="4"/>
        <v>13961</v>
      </c>
      <c r="G30" s="307">
        <f t="shared" si="5"/>
        <v>4188</v>
      </c>
      <c r="H30" s="307">
        <f t="shared" si="6"/>
        <v>9773</v>
      </c>
      <c r="I30" s="307">
        <f t="shared" si="7"/>
        <v>2932</v>
      </c>
      <c r="J30" s="309">
        <f t="shared" si="8"/>
        <v>6841</v>
      </c>
      <c r="K30" s="310">
        <f t="shared" si="9"/>
        <v>2052</v>
      </c>
      <c r="L30" s="309">
        <f t="shared" si="10"/>
        <v>4789</v>
      </c>
    </row>
    <row r="31" spans="1:12">
      <c r="A31" s="306" t="s">
        <v>216</v>
      </c>
      <c r="B31" s="307">
        <v>28566</v>
      </c>
      <c r="C31" s="307">
        <f t="shared" si="1"/>
        <v>8570</v>
      </c>
      <c r="D31" s="307">
        <f t="shared" si="2"/>
        <v>19996</v>
      </c>
      <c r="E31" s="307">
        <f t="shared" si="3"/>
        <v>5999</v>
      </c>
      <c r="F31" s="309">
        <f t="shared" si="4"/>
        <v>13997</v>
      </c>
      <c r="G31" s="307">
        <f t="shared" si="5"/>
        <v>4199</v>
      </c>
      <c r="H31" s="307">
        <f t="shared" si="6"/>
        <v>9798</v>
      </c>
      <c r="I31" s="307">
        <f t="shared" si="7"/>
        <v>2939</v>
      </c>
      <c r="J31" s="309">
        <f t="shared" si="8"/>
        <v>6859</v>
      </c>
      <c r="K31" s="310">
        <f t="shared" si="9"/>
        <v>2058</v>
      </c>
      <c r="L31" s="309">
        <f t="shared" si="10"/>
        <v>4801</v>
      </c>
    </row>
    <row r="32" spans="1:12">
      <c r="A32" s="306" t="s">
        <v>217</v>
      </c>
      <c r="B32" s="307">
        <v>26507</v>
      </c>
      <c r="C32" s="307">
        <f t="shared" si="1"/>
        <v>7952</v>
      </c>
      <c r="D32" s="307">
        <f t="shared" si="2"/>
        <v>18555</v>
      </c>
      <c r="E32" s="307">
        <f t="shared" si="3"/>
        <v>5567</v>
      </c>
      <c r="F32" s="309">
        <f t="shared" si="4"/>
        <v>12988</v>
      </c>
      <c r="G32" s="307">
        <f t="shared" si="5"/>
        <v>3896</v>
      </c>
      <c r="H32" s="307">
        <f t="shared" si="6"/>
        <v>9092</v>
      </c>
      <c r="I32" s="307">
        <f t="shared" si="7"/>
        <v>2728</v>
      </c>
      <c r="J32" s="309">
        <f t="shared" si="8"/>
        <v>6364</v>
      </c>
      <c r="K32" s="310">
        <f t="shared" si="9"/>
        <v>1909</v>
      </c>
      <c r="L32" s="309">
        <f t="shared" si="10"/>
        <v>4455</v>
      </c>
    </row>
    <row r="33" spans="1:12">
      <c r="A33" s="306" t="s">
        <v>218</v>
      </c>
      <c r="B33" s="307">
        <v>25656</v>
      </c>
      <c r="C33" s="307">
        <f t="shared" si="1"/>
        <v>7697</v>
      </c>
      <c r="D33" s="307">
        <f t="shared" si="2"/>
        <v>17959</v>
      </c>
      <c r="E33" s="307">
        <f t="shared" si="3"/>
        <v>5388</v>
      </c>
      <c r="F33" s="309">
        <f t="shared" si="4"/>
        <v>12571</v>
      </c>
      <c r="G33" s="307">
        <f t="shared" si="5"/>
        <v>3771</v>
      </c>
      <c r="H33" s="307">
        <f t="shared" si="6"/>
        <v>8800</v>
      </c>
      <c r="I33" s="307">
        <f t="shared" si="7"/>
        <v>2640</v>
      </c>
      <c r="J33" s="309">
        <f t="shared" si="8"/>
        <v>6160</v>
      </c>
      <c r="K33" s="310">
        <f t="shared" si="9"/>
        <v>1848</v>
      </c>
      <c r="L33" s="309">
        <f t="shared" si="10"/>
        <v>4312</v>
      </c>
    </row>
    <row r="34" spans="1:12">
      <c r="A34" s="306" t="s">
        <v>219</v>
      </c>
      <c r="B34" s="307">
        <v>25200</v>
      </c>
      <c r="C34" s="307">
        <f t="shared" si="1"/>
        <v>7560</v>
      </c>
      <c r="D34" s="307">
        <f t="shared" si="2"/>
        <v>17640</v>
      </c>
      <c r="E34" s="307">
        <f t="shared" si="3"/>
        <v>5292</v>
      </c>
      <c r="F34" s="309">
        <f t="shared" si="4"/>
        <v>12348</v>
      </c>
      <c r="G34" s="307">
        <f t="shared" si="5"/>
        <v>3704</v>
      </c>
      <c r="H34" s="307">
        <f t="shared" si="6"/>
        <v>8644</v>
      </c>
      <c r="I34" s="307">
        <f t="shared" si="7"/>
        <v>2593</v>
      </c>
      <c r="J34" s="309">
        <f t="shared" si="8"/>
        <v>6051</v>
      </c>
      <c r="K34" s="310">
        <f t="shared" si="9"/>
        <v>1815</v>
      </c>
      <c r="L34" s="309">
        <f t="shared" si="10"/>
        <v>4236</v>
      </c>
    </row>
    <row r="35" spans="1:12">
      <c r="A35" s="306" t="s">
        <v>220</v>
      </c>
      <c r="B35" s="307">
        <v>24571</v>
      </c>
      <c r="C35" s="307">
        <f t="shared" si="1"/>
        <v>7371</v>
      </c>
      <c r="D35" s="307">
        <f t="shared" si="2"/>
        <v>17200</v>
      </c>
      <c r="E35" s="307">
        <f t="shared" si="3"/>
        <v>5160</v>
      </c>
      <c r="F35" s="309">
        <f t="shared" si="4"/>
        <v>12040</v>
      </c>
      <c r="G35" s="307">
        <f t="shared" si="5"/>
        <v>3612</v>
      </c>
      <c r="H35" s="307">
        <f t="shared" si="6"/>
        <v>8428</v>
      </c>
      <c r="I35" s="307">
        <f t="shared" si="7"/>
        <v>2528</v>
      </c>
      <c r="J35" s="309">
        <f t="shared" si="8"/>
        <v>5900</v>
      </c>
      <c r="K35" s="310">
        <f t="shared" si="9"/>
        <v>1770</v>
      </c>
      <c r="L35" s="309">
        <f t="shared" si="10"/>
        <v>4130</v>
      </c>
    </row>
    <row r="36" spans="1:12">
      <c r="A36" s="306" t="s">
        <v>221</v>
      </c>
      <c r="B36" s="307">
        <v>24172</v>
      </c>
      <c r="C36" s="307">
        <f t="shared" si="1"/>
        <v>7252</v>
      </c>
      <c r="D36" s="307">
        <f t="shared" si="2"/>
        <v>16920</v>
      </c>
      <c r="E36" s="307">
        <f t="shared" si="3"/>
        <v>5076</v>
      </c>
      <c r="F36" s="309">
        <f t="shared" si="4"/>
        <v>11844</v>
      </c>
      <c r="G36" s="307">
        <f t="shared" si="5"/>
        <v>3553</v>
      </c>
      <c r="H36" s="307">
        <f t="shared" si="6"/>
        <v>8291</v>
      </c>
      <c r="I36" s="307">
        <f t="shared" si="7"/>
        <v>2487</v>
      </c>
      <c r="J36" s="309">
        <f t="shared" si="8"/>
        <v>5804</v>
      </c>
      <c r="K36" s="310">
        <f t="shared" si="9"/>
        <v>1741</v>
      </c>
      <c r="L36" s="309">
        <f t="shared" si="10"/>
        <v>4063</v>
      </c>
    </row>
    <row r="37" spans="1:12">
      <c r="A37" s="306" t="s">
        <v>222</v>
      </c>
      <c r="B37" s="307">
        <v>24031</v>
      </c>
      <c r="C37" s="307">
        <f t="shared" si="1"/>
        <v>7209</v>
      </c>
      <c r="D37" s="307">
        <f t="shared" si="2"/>
        <v>16822</v>
      </c>
      <c r="E37" s="307">
        <f t="shared" si="3"/>
        <v>5047</v>
      </c>
      <c r="F37" s="309">
        <f t="shared" si="4"/>
        <v>11775</v>
      </c>
      <c r="G37" s="307">
        <f t="shared" si="5"/>
        <v>3533</v>
      </c>
      <c r="H37" s="307">
        <f t="shared" si="6"/>
        <v>8242</v>
      </c>
      <c r="I37" s="307">
        <f t="shared" si="7"/>
        <v>2473</v>
      </c>
      <c r="J37" s="309">
        <f t="shared" si="8"/>
        <v>5769</v>
      </c>
      <c r="K37" s="310">
        <f t="shared" si="9"/>
        <v>1731</v>
      </c>
      <c r="L37" s="309">
        <f t="shared" si="10"/>
        <v>4038</v>
      </c>
    </row>
    <row r="38" spans="1:12">
      <c r="A38" s="306" t="s">
        <v>223</v>
      </c>
      <c r="B38" s="307">
        <v>24676</v>
      </c>
      <c r="C38" s="307">
        <f t="shared" si="1"/>
        <v>7403</v>
      </c>
      <c r="D38" s="307">
        <f t="shared" si="2"/>
        <v>17273</v>
      </c>
      <c r="E38" s="307">
        <f t="shared" si="3"/>
        <v>5182</v>
      </c>
      <c r="F38" s="309">
        <f t="shared" si="4"/>
        <v>12091</v>
      </c>
      <c r="G38" s="307">
        <f t="shared" si="5"/>
        <v>3627</v>
      </c>
      <c r="H38" s="307">
        <f t="shared" si="6"/>
        <v>8464</v>
      </c>
      <c r="I38" s="307">
        <f t="shared" si="7"/>
        <v>2539</v>
      </c>
      <c r="J38" s="309">
        <f t="shared" si="8"/>
        <v>5925</v>
      </c>
      <c r="K38" s="310">
        <f t="shared" si="9"/>
        <v>1778</v>
      </c>
      <c r="L38" s="309">
        <f t="shared" si="10"/>
        <v>4147</v>
      </c>
    </row>
    <row r="39" spans="1:12">
      <c r="A39" s="306" t="s">
        <v>224</v>
      </c>
      <c r="B39" s="307">
        <v>25100</v>
      </c>
      <c r="C39" s="307">
        <f t="shared" si="1"/>
        <v>7530</v>
      </c>
      <c r="D39" s="307">
        <f t="shared" si="2"/>
        <v>17570</v>
      </c>
      <c r="E39" s="307">
        <f t="shared" si="3"/>
        <v>5271</v>
      </c>
      <c r="F39" s="309">
        <f t="shared" si="4"/>
        <v>12299</v>
      </c>
      <c r="G39" s="307">
        <f t="shared" si="5"/>
        <v>3690</v>
      </c>
      <c r="H39" s="307">
        <f t="shared" si="6"/>
        <v>8609</v>
      </c>
      <c r="I39" s="307">
        <f t="shared" si="7"/>
        <v>2583</v>
      </c>
      <c r="J39" s="309">
        <f t="shared" si="8"/>
        <v>6026</v>
      </c>
      <c r="K39" s="310">
        <f t="shared" si="9"/>
        <v>1808</v>
      </c>
      <c r="L39" s="309">
        <f t="shared" si="10"/>
        <v>4218</v>
      </c>
    </row>
    <row r="40" spans="1:12">
      <c r="A40" s="306" t="s">
        <v>225</v>
      </c>
      <c r="B40" s="307">
        <v>25245</v>
      </c>
      <c r="C40" s="307">
        <f t="shared" si="1"/>
        <v>7574</v>
      </c>
      <c r="D40" s="307">
        <f t="shared" si="2"/>
        <v>17671</v>
      </c>
      <c r="E40" s="307">
        <f t="shared" si="3"/>
        <v>5301</v>
      </c>
      <c r="F40" s="309">
        <f t="shared" si="4"/>
        <v>12370</v>
      </c>
      <c r="G40" s="307">
        <f t="shared" si="5"/>
        <v>3711</v>
      </c>
      <c r="H40" s="307">
        <f t="shared" si="6"/>
        <v>8659</v>
      </c>
      <c r="I40" s="307">
        <f t="shared" si="7"/>
        <v>2598</v>
      </c>
      <c r="J40" s="309">
        <f t="shared" si="8"/>
        <v>6061</v>
      </c>
      <c r="K40" s="310">
        <f t="shared" si="9"/>
        <v>1818</v>
      </c>
      <c r="L40" s="309">
        <f t="shared" si="10"/>
        <v>4243</v>
      </c>
    </row>
    <row r="41" spans="1:12">
      <c r="A41" s="306" t="s">
        <v>226</v>
      </c>
      <c r="B41" s="307">
        <v>25224</v>
      </c>
      <c r="C41" s="307">
        <f t="shared" si="1"/>
        <v>7567</v>
      </c>
      <c r="D41" s="307">
        <f t="shared" si="2"/>
        <v>17657</v>
      </c>
      <c r="E41" s="307">
        <f t="shared" si="3"/>
        <v>5297</v>
      </c>
      <c r="F41" s="309">
        <f t="shared" si="4"/>
        <v>12360</v>
      </c>
      <c r="G41" s="307">
        <f t="shared" si="5"/>
        <v>3708</v>
      </c>
      <c r="H41" s="307">
        <f t="shared" si="6"/>
        <v>8652</v>
      </c>
      <c r="I41" s="307">
        <f t="shared" si="7"/>
        <v>2596</v>
      </c>
      <c r="J41" s="309">
        <f t="shared" si="8"/>
        <v>6056</v>
      </c>
      <c r="K41" s="310">
        <f t="shared" si="9"/>
        <v>1817</v>
      </c>
      <c r="L41" s="309">
        <f t="shared" si="10"/>
        <v>4239</v>
      </c>
    </row>
    <row r="42" spans="1:12">
      <c r="A42" s="306" t="s">
        <v>227</v>
      </c>
      <c r="B42" s="307">
        <v>25867</v>
      </c>
      <c r="C42" s="307">
        <f t="shared" si="1"/>
        <v>7760</v>
      </c>
      <c r="D42" s="307">
        <f t="shared" si="2"/>
        <v>18107</v>
      </c>
      <c r="E42" s="307">
        <f t="shared" si="3"/>
        <v>5432</v>
      </c>
      <c r="F42" s="309">
        <f t="shared" si="4"/>
        <v>12675</v>
      </c>
      <c r="G42" s="307">
        <f t="shared" si="5"/>
        <v>3803</v>
      </c>
      <c r="H42" s="307">
        <f t="shared" si="6"/>
        <v>8872</v>
      </c>
      <c r="I42" s="307">
        <f t="shared" si="7"/>
        <v>2662</v>
      </c>
      <c r="J42" s="309">
        <f t="shared" si="8"/>
        <v>6210</v>
      </c>
      <c r="K42" s="310">
        <f t="shared" si="9"/>
        <v>1863</v>
      </c>
      <c r="L42" s="309">
        <f t="shared" si="10"/>
        <v>4347</v>
      </c>
    </row>
    <row r="43" spans="1:12">
      <c r="A43" s="306" t="s">
        <v>228</v>
      </c>
      <c r="B43" s="307">
        <v>26317</v>
      </c>
      <c r="C43" s="307">
        <f t="shared" si="1"/>
        <v>7895</v>
      </c>
      <c r="D43" s="307">
        <f t="shared" si="2"/>
        <v>18422</v>
      </c>
      <c r="E43" s="307">
        <f t="shared" si="3"/>
        <v>5527</v>
      </c>
      <c r="F43" s="309">
        <f t="shared" si="4"/>
        <v>12895</v>
      </c>
      <c r="G43" s="307">
        <f t="shared" si="5"/>
        <v>3869</v>
      </c>
      <c r="H43" s="307">
        <f t="shared" si="6"/>
        <v>9026</v>
      </c>
      <c r="I43" s="307">
        <f t="shared" si="7"/>
        <v>2708</v>
      </c>
      <c r="J43" s="309">
        <f t="shared" si="8"/>
        <v>6318</v>
      </c>
      <c r="K43" s="310">
        <f t="shared" si="9"/>
        <v>1895</v>
      </c>
      <c r="L43" s="309">
        <f t="shared" si="10"/>
        <v>4423</v>
      </c>
    </row>
    <row r="44" spans="1:12">
      <c r="A44" s="306" t="s">
        <v>229</v>
      </c>
      <c r="B44" s="307">
        <v>25696</v>
      </c>
      <c r="C44" s="307">
        <f t="shared" si="1"/>
        <v>7709</v>
      </c>
      <c r="D44" s="307">
        <f t="shared" si="2"/>
        <v>17987</v>
      </c>
      <c r="E44" s="307">
        <f t="shared" si="3"/>
        <v>5396</v>
      </c>
      <c r="F44" s="309">
        <f t="shared" si="4"/>
        <v>12591</v>
      </c>
      <c r="G44" s="307">
        <f t="shared" si="5"/>
        <v>3777</v>
      </c>
      <c r="H44" s="307">
        <f t="shared" si="6"/>
        <v>8814</v>
      </c>
      <c r="I44" s="307">
        <f t="shared" si="7"/>
        <v>2644</v>
      </c>
      <c r="J44" s="309">
        <f t="shared" si="8"/>
        <v>6170</v>
      </c>
      <c r="K44" s="310">
        <f t="shared" si="9"/>
        <v>1851</v>
      </c>
      <c r="L44" s="309">
        <f t="shared" si="10"/>
        <v>4319</v>
      </c>
    </row>
    <row r="45" spans="1:12">
      <c r="A45" s="306" t="s">
        <v>230</v>
      </c>
      <c r="B45" s="307">
        <v>25049</v>
      </c>
      <c r="C45" s="307">
        <f t="shared" si="1"/>
        <v>7515</v>
      </c>
      <c r="D45" s="307">
        <f t="shared" si="2"/>
        <v>17534</v>
      </c>
      <c r="E45" s="307">
        <f t="shared" si="3"/>
        <v>5260</v>
      </c>
      <c r="F45" s="309">
        <f t="shared" si="4"/>
        <v>12274</v>
      </c>
      <c r="G45" s="307">
        <f t="shared" si="5"/>
        <v>3682</v>
      </c>
      <c r="H45" s="307">
        <f t="shared" si="6"/>
        <v>8592</v>
      </c>
      <c r="I45" s="307">
        <f t="shared" si="7"/>
        <v>2578</v>
      </c>
      <c r="J45" s="309">
        <f t="shared" si="8"/>
        <v>6014</v>
      </c>
      <c r="K45" s="310">
        <f t="shared" si="9"/>
        <v>1804</v>
      </c>
      <c r="L45" s="309">
        <f t="shared" si="10"/>
        <v>4210</v>
      </c>
    </row>
    <row r="46" spans="1:12">
      <c r="A46" s="306" t="s">
        <v>231</v>
      </c>
      <c r="B46" s="307">
        <v>24994</v>
      </c>
      <c r="C46" s="307">
        <f t="shared" si="1"/>
        <v>7498</v>
      </c>
      <c r="D46" s="307">
        <f t="shared" si="2"/>
        <v>17496</v>
      </c>
      <c r="E46" s="307">
        <f t="shared" si="3"/>
        <v>5249</v>
      </c>
      <c r="F46" s="309">
        <f t="shared" si="4"/>
        <v>12247</v>
      </c>
      <c r="G46" s="307">
        <f t="shared" si="5"/>
        <v>3674</v>
      </c>
      <c r="H46" s="307">
        <f t="shared" si="6"/>
        <v>8573</v>
      </c>
      <c r="I46" s="307">
        <f t="shared" si="7"/>
        <v>2572</v>
      </c>
      <c r="J46" s="309">
        <f t="shared" si="8"/>
        <v>6001</v>
      </c>
      <c r="K46" s="310">
        <f t="shared" si="9"/>
        <v>1800</v>
      </c>
      <c r="L46" s="309">
        <f t="shared" si="10"/>
        <v>4201</v>
      </c>
    </row>
    <row r="47" spans="1:12">
      <c r="A47" s="306" t="s">
        <v>232</v>
      </c>
      <c r="B47" s="307">
        <v>24832</v>
      </c>
      <c r="C47" s="307">
        <f t="shared" si="1"/>
        <v>7450</v>
      </c>
      <c r="D47" s="307">
        <f t="shared" si="2"/>
        <v>17382</v>
      </c>
      <c r="E47" s="307">
        <f t="shared" si="3"/>
        <v>5215</v>
      </c>
      <c r="F47" s="309">
        <f t="shared" si="4"/>
        <v>12167</v>
      </c>
      <c r="G47" s="307">
        <f t="shared" si="5"/>
        <v>3650</v>
      </c>
      <c r="H47" s="307">
        <f t="shared" si="6"/>
        <v>8517</v>
      </c>
      <c r="I47" s="307">
        <f t="shared" si="7"/>
        <v>2555</v>
      </c>
      <c r="J47" s="309">
        <f t="shared" si="8"/>
        <v>5962</v>
      </c>
      <c r="K47" s="310">
        <f t="shared" si="9"/>
        <v>1789</v>
      </c>
      <c r="L47" s="309">
        <f t="shared" si="10"/>
        <v>4173</v>
      </c>
    </row>
    <row r="48" spans="1:12">
      <c r="A48" s="306" t="s">
        <v>233</v>
      </c>
      <c r="B48" s="307">
        <v>24883</v>
      </c>
      <c r="C48" s="307">
        <f t="shared" si="1"/>
        <v>7465</v>
      </c>
      <c r="D48" s="307">
        <f t="shared" si="2"/>
        <v>17418</v>
      </c>
      <c r="E48" s="307">
        <f t="shared" si="3"/>
        <v>5225</v>
      </c>
      <c r="F48" s="309">
        <f t="shared" si="4"/>
        <v>12193</v>
      </c>
      <c r="G48" s="307">
        <f t="shared" si="5"/>
        <v>3658</v>
      </c>
      <c r="H48" s="307">
        <f t="shared" si="6"/>
        <v>8535</v>
      </c>
      <c r="I48" s="307">
        <f t="shared" si="7"/>
        <v>2561</v>
      </c>
      <c r="J48" s="309">
        <f t="shared" si="8"/>
        <v>5974</v>
      </c>
      <c r="K48" s="310">
        <f t="shared" si="9"/>
        <v>1792</v>
      </c>
      <c r="L48" s="309">
        <f t="shared" si="10"/>
        <v>4182</v>
      </c>
    </row>
    <row r="49" spans="1:12">
      <c r="A49" s="306" t="s">
        <v>234</v>
      </c>
      <c r="B49" s="307">
        <v>24168</v>
      </c>
      <c r="C49" s="307">
        <f t="shared" si="1"/>
        <v>7250</v>
      </c>
      <c r="D49" s="307">
        <f t="shared" si="2"/>
        <v>16918</v>
      </c>
      <c r="E49" s="307">
        <f t="shared" si="3"/>
        <v>5075</v>
      </c>
      <c r="F49" s="309">
        <f t="shared" si="4"/>
        <v>11843</v>
      </c>
      <c r="G49" s="307">
        <f t="shared" si="5"/>
        <v>3553</v>
      </c>
      <c r="H49" s="307">
        <f t="shared" si="6"/>
        <v>8290</v>
      </c>
      <c r="I49" s="307">
        <f t="shared" si="7"/>
        <v>2487</v>
      </c>
      <c r="J49" s="309">
        <f t="shared" si="8"/>
        <v>5803</v>
      </c>
      <c r="K49" s="310">
        <f t="shared" si="9"/>
        <v>1741</v>
      </c>
      <c r="L49" s="309">
        <f t="shared" si="10"/>
        <v>4062</v>
      </c>
    </row>
    <row r="50" spans="1:12">
      <c r="A50" s="306" t="s">
        <v>235</v>
      </c>
      <c r="B50" s="307">
        <v>25349</v>
      </c>
      <c r="C50" s="307">
        <f t="shared" si="1"/>
        <v>7605</v>
      </c>
      <c r="D50" s="307">
        <f t="shared" si="2"/>
        <v>17744</v>
      </c>
      <c r="E50" s="307">
        <f t="shared" si="3"/>
        <v>5323</v>
      </c>
      <c r="F50" s="309">
        <f t="shared" si="4"/>
        <v>12421</v>
      </c>
      <c r="G50" s="307">
        <f t="shared" si="5"/>
        <v>3726</v>
      </c>
      <c r="H50" s="307">
        <f t="shared" si="6"/>
        <v>8695</v>
      </c>
      <c r="I50" s="307">
        <f t="shared" si="7"/>
        <v>2609</v>
      </c>
      <c r="J50" s="309">
        <f t="shared" si="8"/>
        <v>6086</v>
      </c>
      <c r="K50" s="310">
        <f t="shared" si="9"/>
        <v>1826</v>
      </c>
      <c r="L50" s="309">
        <f t="shared" si="10"/>
        <v>4260</v>
      </c>
    </row>
    <row r="51" spans="1:12">
      <c r="A51" s="306" t="s">
        <v>236</v>
      </c>
      <c r="B51" s="307">
        <v>25939</v>
      </c>
      <c r="C51" s="307">
        <f t="shared" si="1"/>
        <v>7782</v>
      </c>
      <c r="D51" s="307">
        <f t="shared" si="2"/>
        <v>18157</v>
      </c>
      <c r="E51" s="307">
        <f t="shared" si="3"/>
        <v>5447</v>
      </c>
      <c r="F51" s="309">
        <f t="shared" si="4"/>
        <v>12710</v>
      </c>
      <c r="G51" s="307">
        <f t="shared" si="5"/>
        <v>3813</v>
      </c>
      <c r="H51" s="307">
        <f t="shared" si="6"/>
        <v>8897</v>
      </c>
      <c r="I51" s="307">
        <f t="shared" si="7"/>
        <v>2669</v>
      </c>
      <c r="J51" s="309">
        <f t="shared" si="8"/>
        <v>6228</v>
      </c>
      <c r="K51" s="310">
        <f t="shared" si="9"/>
        <v>1868</v>
      </c>
      <c r="L51" s="309">
        <f t="shared" si="10"/>
        <v>4360</v>
      </c>
    </row>
    <row r="52" spans="1:12">
      <c r="A52" s="306" t="s">
        <v>237</v>
      </c>
      <c r="B52" s="307">
        <v>26705</v>
      </c>
      <c r="C52" s="307">
        <f t="shared" si="1"/>
        <v>8012</v>
      </c>
      <c r="D52" s="307">
        <f t="shared" si="2"/>
        <v>18693</v>
      </c>
      <c r="E52" s="307">
        <f t="shared" si="3"/>
        <v>5608</v>
      </c>
      <c r="F52" s="309">
        <f t="shared" si="4"/>
        <v>13085</v>
      </c>
      <c r="G52" s="307">
        <f t="shared" si="5"/>
        <v>3926</v>
      </c>
      <c r="H52" s="307">
        <f t="shared" si="6"/>
        <v>9159</v>
      </c>
      <c r="I52" s="307">
        <f t="shared" si="7"/>
        <v>2748</v>
      </c>
      <c r="J52" s="309">
        <f t="shared" si="8"/>
        <v>6411</v>
      </c>
      <c r="K52" s="310">
        <f t="shared" si="9"/>
        <v>1923</v>
      </c>
      <c r="L52" s="309">
        <f t="shared" si="10"/>
        <v>4488</v>
      </c>
    </row>
    <row r="53" spans="1:12">
      <c r="A53" s="306" t="s">
        <v>238</v>
      </c>
      <c r="B53" s="307">
        <v>27242</v>
      </c>
      <c r="C53" s="307">
        <f t="shared" si="1"/>
        <v>8173</v>
      </c>
      <c r="D53" s="307">
        <f t="shared" si="2"/>
        <v>19069</v>
      </c>
      <c r="E53" s="307">
        <f t="shared" si="3"/>
        <v>5721</v>
      </c>
      <c r="F53" s="309">
        <f t="shared" si="4"/>
        <v>13348</v>
      </c>
      <c r="G53" s="307">
        <f t="shared" si="5"/>
        <v>4004</v>
      </c>
      <c r="H53" s="307">
        <f t="shared" si="6"/>
        <v>9344</v>
      </c>
      <c r="I53" s="307">
        <f t="shared" si="7"/>
        <v>2803</v>
      </c>
      <c r="J53" s="309">
        <f t="shared" si="8"/>
        <v>6541</v>
      </c>
      <c r="K53" s="310">
        <f t="shared" si="9"/>
        <v>1962</v>
      </c>
      <c r="L53" s="309">
        <f t="shared" si="10"/>
        <v>4579</v>
      </c>
    </row>
    <row r="54" spans="1:12">
      <c r="A54" s="306" t="s">
        <v>239</v>
      </c>
      <c r="B54" s="307">
        <v>26983</v>
      </c>
      <c r="C54" s="307">
        <f t="shared" si="1"/>
        <v>8095</v>
      </c>
      <c r="D54" s="307">
        <f t="shared" si="2"/>
        <v>18888</v>
      </c>
      <c r="E54" s="307">
        <f t="shared" si="3"/>
        <v>5666</v>
      </c>
      <c r="F54" s="309">
        <f t="shared" si="4"/>
        <v>13222</v>
      </c>
      <c r="G54" s="307">
        <f t="shared" si="5"/>
        <v>3967</v>
      </c>
      <c r="H54" s="307">
        <f t="shared" si="6"/>
        <v>9255</v>
      </c>
      <c r="I54" s="307">
        <f t="shared" si="7"/>
        <v>2777</v>
      </c>
      <c r="J54" s="309">
        <f t="shared" si="8"/>
        <v>6478</v>
      </c>
      <c r="K54" s="310">
        <f t="shared" si="9"/>
        <v>1943</v>
      </c>
      <c r="L54" s="309">
        <f t="shared" si="10"/>
        <v>4535</v>
      </c>
    </row>
    <row r="55" spans="1:12">
      <c r="A55" s="306" t="s">
        <v>240</v>
      </c>
      <c r="B55" s="307">
        <v>26404</v>
      </c>
      <c r="C55" s="307">
        <f t="shared" si="1"/>
        <v>7921</v>
      </c>
      <c r="D55" s="307">
        <f t="shared" si="2"/>
        <v>18483</v>
      </c>
      <c r="E55" s="307">
        <f t="shared" si="3"/>
        <v>5545</v>
      </c>
      <c r="F55" s="309">
        <f t="shared" si="4"/>
        <v>12938</v>
      </c>
      <c r="G55" s="307">
        <f t="shared" si="5"/>
        <v>3881</v>
      </c>
      <c r="H55" s="307">
        <f t="shared" si="6"/>
        <v>9057</v>
      </c>
      <c r="I55" s="307">
        <f t="shared" si="7"/>
        <v>2717</v>
      </c>
      <c r="J55" s="309">
        <f t="shared" si="8"/>
        <v>6340</v>
      </c>
      <c r="K55" s="310">
        <f t="shared" si="9"/>
        <v>1902</v>
      </c>
      <c r="L55" s="309">
        <f t="shared" si="10"/>
        <v>4438</v>
      </c>
    </row>
    <row r="56" spans="1:12">
      <c r="A56" s="306" t="s">
        <v>241</v>
      </c>
      <c r="B56" s="307">
        <v>25994</v>
      </c>
      <c r="C56" s="307">
        <f t="shared" si="1"/>
        <v>7798</v>
      </c>
      <c r="D56" s="307">
        <f t="shared" si="2"/>
        <v>18196</v>
      </c>
      <c r="E56" s="307">
        <f t="shared" si="3"/>
        <v>5459</v>
      </c>
      <c r="F56" s="309">
        <f t="shared" si="4"/>
        <v>12737</v>
      </c>
      <c r="G56" s="307">
        <f t="shared" si="5"/>
        <v>3821</v>
      </c>
      <c r="H56" s="307">
        <f t="shared" si="6"/>
        <v>8916</v>
      </c>
      <c r="I56" s="307">
        <f t="shared" si="7"/>
        <v>2675</v>
      </c>
      <c r="J56" s="309">
        <f t="shared" si="8"/>
        <v>6241</v>
      </c>
      <c r="K56" s="310">
        <f t="shared" si="9"/>
        <v>1872</v>
      </c>
      <c r="L56" s="309">
        <f t="shared" si="10"/>
        <v>4369</v>
      </c>
    </row>
    <row r="57" spans="1:12">
      <c r="A57" s="306" t="s">
        <v>242</v>
      </c>
      <c r="B57" s="307">
        <v>24743</v>
      </c>
      <c r="C57" s="307">
        <f t="shared" si="1"/>
        <v>7423</v>
      </c>
      <c r="D57" s="307">
        <f t="shared" si="2"/>
        <v>17320</v>
      </c>
      <c r="E57" s="307">
        <f t="shared" si="3"/>
        <v>5196</v>
      </c>
      <c r="F57" s="309">
        <f t="shared" si="4"/>
        <v>12124</v>
      </c>
      <c r="G57" s="307">
        <f t="shared" si="5"/>
        <v>3637</v>
      </c>
      <c r="H57" s="307">
        <f t="shared" si="6"/>
        <v>8487</v>
      </c>
      <c r="I57" s="307">
        <f t="shared" si="7"/>
        <v>2546</v>
      </c>
      <c r="J57" s="309">
        <f t="shared" si="8"/>
        <v>5941</v>
      </c>
      <c r="K57" s="310">
        <f t="shared" si="9"/>
        <v>1782</v>
      </c>
      <c r="L57" s="309">
        <f t="shared" si="10"/>
        <v>4159</v>
      </c>
    </row>
    <row r="58" spans="1:12">
      <c r="A58" s="306" t="s">
        <v>243</v>
      </c>
      <c r="B58" s="307">
        <v>23208</v>
      </c>
      <c r="C58" s="307">
        <f t="shared" si="1"/>
        <v>6962</v>
      </c>
      <c r="D58" s="307">
        <f t="shared" si="2"/>
        <v>16246</v>
      </c>
      <c r="E58" s="307">
        <f t="shared" si="3"/>
        <v>4874</v>
      </c>
      <c r="F58" s="309">
        <f t="shared" si="4"/>
        <v>11372</v>
      </c>
      <c r="G58" s="307">
        <f t="shared" si="5"/>
        <v>3412</v>
      </c>
      <c r="H58" s="307">
        <f t="shared" si="6"/>
        <v>7960</v>
      </c>
      <c r="I58" s="307">
        <f t="shared" si="7"/>
        <v>2388</v>
      </c>
      <c r="J58" s="309">
        <f t="shared" si="8"/>
        <v>5572</v>
      </c>
      <c r="K58" s="310">
        <f t="shared" si="9"/>
        <v>1672</v>
      </c>
      <c r="L58" s="309">
        <f t="shared" si="10"/>
        <v>3900</v>
      </c>
    </row>
    <row r="59" spans="1:12">
      <c r="A59" s="306" t="s">
        <v>244</v>
      </c>
      <c r="B59" s="307">
        <v>22647</v>
      </c>
      <c r="C59" s="307">
        <f t="shared" si="1"/>
        <v>6794</v>
      </c>
      <c r="D59" s="307">
        <f t="shared" si="2"/>
        <v>15853</v>
      </c>
      <c r="E59" s="307">
        <f t="shared" si="3"/>
        <v>4756</v>
      </c>
      <c r="F59" s="309">
        <f t="shared" si="4"/>
        <v>11097</v>
      </c>
      <c r="G59" s="307">
        <f t="shared" si="5"/>
        <v>3329</v>
      </c>
      <c r="H59" s="307">
        <f t="shared" si="6"/>
        <v>7768</v>
      </c>
      <c r="I59" s="307">
        <f t="shared" si="7"/>
        <v>2330</v>
      </c>
      <c r="J59" s="309">
        <f t="shared" si="8"/>
        <v>5438</v>
      </c>
      <c r="K59" s="310">
        <f t="shared" si="9"/>
        <v>1631</v>
      </c>
      <c r="L59" s="309">
        <f t="shared" si="10"/>
        <v>3807</v>
      </c>
    </row>
    <row r="60" spans="1:12">
      <c r="A60" s="306" t="s">
        <v>245</v>
      </c>
      <c r="B60" s="307">
        <v>21524</v>
      </c>
      <c r="C60" s="307">
        <f t="shared" si="1"/>
        <v>6457</v>
      </c>
      <c r="D60" s="307">
        <f t="shared" si="2"/>
        <v>15067</v>
      </c>
      <c r="E60" s="307">
        <f t="shared" si="3"/>
        <v>4520</v>
      </c>
      <c r="F60" s="309">
        <f t="shared" si="4"/>
        <v>10547</v>
      </c>
      <c r="G60" s="307">
        <f t="shared" si="5"/>
        <v>3164</v>
      </c>
      <c r="H60" s="307">
        <f t="shared" si="6"/>
        <v>7383</v>
      </c>
      <c r="I60" s="307">
        <f t="shared" si="7"/>
        <v>2215</v>
      </c>
      <c r="J60" s="309">
        <f t="shared" si="8"/>
        <v>5168</v>
      </c>
      <c r="K60" s="310">
        <f t="shared" si="9"/>
        <v>1550</v>
      </c>
      <c r="L60" s="309">
        <f t="shared" si="10"/>
        <v>3618</v>
      </c>
    </row>
    <row r="61" spans="1:12">
      <c r="A61" s="306" t="s">
        <v>246</v>
      </c>
      <c r="B61" s="307">
        <v>19400</v>
      </c>
      <c r="C61" s="307">
        <f t="shared" si="1"/>
        <v>5820</v>
      </c>
      <c r="D61" s="307">
        <f t="shared" si="2"/>
        <v>13580</v>
      </c>
      <c r="E61" s="307">
        <f t="shared" si="3"/>
        <v>4074</v>
      </c>
      <c r="F61" s="309">
        <f t="shared" si="4"/>
        <v>9506</v>
      </c>
      <c r="G61" s="307">
        <f t="shared" si="5"/>
        <v>2852</v>
      </c>
      <c r="H61" s="307">
        <f t="shared" si="6"/>
        <v>6654</v>
      </c>
      <c r="I61" s="307">
        <f t="shared" si="7"/>
        <v>1996</v>
      </c>
      <c r="J61" s="309">
        <f t="shared" si="8"/>
        <v>4658</v>
      </c>
      <c r="K61" s="310">
        <f t="shared" si="9"/>
        <v>1397</v>
      </c>
      <c r="L61" s="309">
        <f t="shared" si="10"/>
        <v>3261</v>
      </c>
    </row>
    <row r="62" spans="1:12">
      <c r="A62" s="306" t="s">
        <v>247</v>
      </c>
      <c r="B62" s="307">
        <v>19414</v>
      </c>
      <c r="C62" s="307">
        <f t="shared" si="1"/>
        <v>5824</v>
      </c>
      <c r="D62" s="307">
        <f t="shared" si="2"/>
        <v>13590</v>
      </c>
      <c r="E62" s="307">
        <f t="shared" si="3"/>
        <v>4077</v>
      </c>
      <c r="F62" s="309">
        <f t="shared" si="4"/>
        <v>9513</v>
      </c>
      <c r="G62" s="307">
        <f t="shared" si="5"/>
        <v>2854</v>
      </c>
      <c r="H62" s="307">
        <f t="shared" si="6"/>
        <v>6659</v>
      </c>
      <c r="I62" s="307">
        <f t="shared" si="7"/>
        <v>1998</v>
      </c>
      <c r="J62" s="309">
        <f t="shared" si="8"/>
        <v>4661</v>
      </c>
      <c r="K62" s="310">
        <f t="shared" si="9"/>
        <v>1398</v>
      </c>
      <c r="L62" s="309">
        <f t="shared" si="10"/>
        <v>3263</v>
      </c>
    </row>
    <row r="63" spans="1:12">
      <c r="A63" s="306" t="s">
        <v>248</v>
      </c>
      <c r="B63" s="307">
        <v>18827</v>
      </c>
      <c r="C63" s="307">
        <f t="shared" si="1"/>
        <v>5648</v>
      </c>
      <c r="D63" s="307">
        <f t="shared" si="2"/>
        <v>13179</v>
      </c>
      <c r="E63" s="307">
        <f t="shared" si="3"/>
        <v>3954</v>
      </c>
      <c r="F63" s="309">
        <f t="shared" si="4"/>
        <v>9225</v>
      </c>
      <c r="G63" s="307">
        <f t="shared" si="5"/>
        <v>2768</v>
      </c>
      <c r="H63" s="307">
        <f t="shared" si="6"/>
        <v>6457</v>
      </c>
      <c r="I63" s="307">
        <f t="shared" si="7"/>
        <v>1937</v>
      </c>
      <c r="J63" s="309">
        <f t="shared" si="8"/>
        <v>4520</v>
      </c>
      <c r="K63" s="310">
        <f t="shared" si="9"/>
        <v>1356</v>
      </c>
      <c r="L63" s="309">
        <f t="shared" si="10"/>
        <v>3164</v>
      </c>
    </row>
    <row r="64" spans="1:12">
      <c r="A64" s="306" t="s">
        <v>249</v>
      </c>
      <c r="B64" s="307">
        <v>17791</v>
      </c>
      <c r="C64" s="307">
        <f t="shared" si="1"/>
        <v>5337</v>
      </c>
      <c r="D64" s="307">
        <f t="shared" si="2"/>
        <v>12454</v>
      </c>
      <c r="E64" s="307">
        <f t="shared" si="3"/>
        <v>3736</v>
      </c>
      <c r="F64" s="309">
        <f t="shared" si="4"/>
        <v>8718</v>
      </c>
      <c r="G64" s="307">
        <f t="shared" si="5"/>
        <v>2615</v>
      </c>
      <c r="H64" s="307">
        <f t="shared" si="6"/>
        <v>6103</v>
      </c>
      <c r="I64" s="307">
        <f t="shared" si="7"/>
        <v>1831</v>
      </c>
      <c r="J64" s="309">
        <f t="shared" si="8"/>
        <v>4272</v>
      </c>
      <c r="K64" s="310">
        <f t="shared" si="9"/>
        <v>1282</v>
      </c>
      <c r="L64" s="309">
        <f t="shared" si="10"/>
        <v>2990</v>
      </c>
    </row>
    <row r="65" spans="1:12">
      <c r="A65" s="306" t="s">
        <v>250</v>
      </c>
      <c r="B65" s="307">
        <v>18467</v>
      </c>
      <c r="C65" s="307">
        <f t="shared" si="1"/>
        <v>5540</v>
      </c>
      <c r="D65" s="307">
        <f t="shared" si="2"/>
        <v>12927</v>
      </c>
      <c r="E65" s="307">
        <f t="shared" si="3"/>
        <v>3878</v>
      </c>
      <c r="F65" s="309">
        <f t="shared" si="4"/>
        <v>9049</v>
      </c>
      <c r="G65" s="307">
        <f t="shared" si="5"/>
        <v>2715</v>
      </c>
      <c r="H65" s="307">
        <f t="shared" si="6"/>
        <v>6334</v>
      </c>
      <c r="I65" s="307">
        <f t="shared" si="7"/>
        <v>1900</v>
      </c>
      <c r="J65" s="309">
        <f t="shared" si="8"/>
        <v>4434</v>
      </c>
      <c r="K65" s="310">
        <f t="shared" si="9"/>
        <v>1330</v>
      </c>
      <c r="L65" s="309">
        <f t="shared" si="10"/>
        <v>3104</v>
      </c>
    </row>
  </sheetData>
  <mergeCells count="6">
    <mergeCell ref="K23:L23"/>
    <mergeCell ref="A23:B24"/>
    <mergeCell ref="C23:D23"/>
    <mergeCell ref="E23:F23"/>
    <mergeCell ref="G23:H23"/>
    <mergeCell ref="I23:J23"/>
  </mergeCells>
  <pageMargins left="0.7" right="0.7" top="0.75" bottom="0.75" header="0.3" footer="0.3"/>
  <pageSetup paperSize="9" scale="2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H29"/>
  <sheetViews>
    <sheetView view="pageBreakPreview" zoomScaleNormal="100" zoomScaleSheetLayoutView="100" workbookViewId="0">
      <selection activeCell="A4" sqref="A4"/>
    </sheetView>
  </sheetViews>
  <sheetFormatPr defaultRowHeight="15"/>
  <cols>
    <col min="1" max="2" width="24.125" style="255" customWidth="1"/>
    <col min="3" max="3" width="16.5" style="255" customWidth="1"/>
    <col min="4" max="4" width="17.875" style="255" customWidth="1"/>
    <col min="5" max="5" width="17.125" style="255" customWidth="1"/>
    <col min="6" max="6" width="17.875" style="255" customWidth="1"/>
    <col min="7" max="7" width="14.75" style="255" customWidth="1"/>
    <col min="8" max="8" width="18.875" style="255" customWidth="1"/>
  </cols>
  <sheetData>
    <row r="1" spans="1:8">
      <c r="B1"/>
      <c r="C1"/>
      <c r="D1"/>
      <c r="H1" s="166" t="s">
        <v>690</v>
      </c>
    </row>
    <row r="2" spans="1:8" ht="15.75">
      <c r="B2"/>
      <c r="C2" s="926" t="s">
        <v>724</v>
      </c>
      <c r="D2"/>
    </row>
    <row r="3" spans="1:8">
      <c r="B3"/>
      <c r="C3"/>
      <c r="D3"/>
    </row>
    <row r="4" spans="1:8" ht="105">
      <c r="A4" s="254" t="s">
        <v>159</v>
      </c>
      <c r="B4" s="251" t="s">
        <v>181</v>
      </c>
      <c r="C4" s="251" t="s">
        <v>1020</v>
      </c>
      <c r="D4" s="251" t="s">
        <v>1021</v>
      </c>
      <c r="E4" s="251" t="s">
        <v>1032</v>
      </c>
    </row>
    <row r="5" spans="1:8" ht="47.25" customHeight="1">
      <c r="A5" s="257" t="s">
        <v>66</v>
      </c>
      <c r="B5" s="672">
        <v>0</v>
      </c>
      <c r="C5" s="669">
        <f>H14+E19</f>
        <v>73945.150399999999</v>
      </c>
      <c r="D5" s="252">
        <f>SUM(H14+G19)</f>
        <v>87285.150399999999</v>
      </c>
      <c r="E5" s="252">
        <f>D5</f>
        <v>87285.150399999999</v>
      </c>
    </row>
    <row r="8" spans="1:8">
      <c r="A8" s="256" t="s">
        <v>31</v>
      </c>
      <c r="B8" s="257" t="s">
        <v>251</v>
      </c>
      <c r="C8" s="258" t="s">
        <v>252</v>
      </c>
      <c r="D8" s="258" t="s">
        <v>253</v>
      </c>
      <c r="E8" s="258" t="s">
        <v>254</v>
      </c>
    </row>
    <row r="9" spans="1:8">
      <c r="A9" s="259" t="s">
        <v>255</v>
      </c>
      <c r="B9" s="260">
        <v>2304</v>
      </c>
      <c r="C9" s="261">
        <v>1388</v>
      </c>
      <c r="D9" s="261">
        <v>925</v>
      </c>
      <c r="E9" s="262" t="s">
        <v>31</v>
      </c>
    </row>
    <row r="10" spans="1:8" ht="30">
      <c r="A10" s="259" t="s">
        <v>256</v>
      </c>
      <c r="B10" s="263">
        <f>ROUND(B9/9600,4)</f>
        <v>0.24</v>
      </c>
      <c r="C10" s="263">
        <f>ROUND(C9/9600,4)</f>
        <v>0.14460000000000001</v>
      </c>
      <c r="D10" s="263">
        <f>ROUND(D9/9600,4)</f>
        <v>9.64E-2</v>
      </c>
      <c r="E10" s="262">
        <v>0.2359</v>
      </c>
    </row>
    <row r="12" spans="1:8">
      <c r="A12" s="917" t="s">
        <v>257</v>
      </c>
      <c r="B12" s="917"/>
    </row>
    <row r="13" spans="1:8" ht="30">
      <c r="A13" s="918" t="s">
        <v>258</v>
      </c>
      <c r="B13" s="918"/>
      <c r="C13" s="918" t="s">
        <v>259</v>
      </c>
      <c r="D13" s="918" t="s">
        <v>260</v>
      </c>
      <c r="E13" s="919" t="s">
        <v>261</v>
      </c>
      <c r="F13" s="918" t="s">
        <v>262</v>
      </c>
      <c r="G13" s="919" t="s">
        <v>263</v>
      </c>
      <c r="H13" s="919" t="s">
        <v>264</v>
      </c>
    </row>
    <row r="14" spans="1:8">
      <c r="A14" s="920">
        <v>1</v>
      </c>
      <c r="B14" s="920"/>
      <c r="C14" s="920">
        <f>C9</f>
        <v>1388</v>
      </c>
      <c r="D14" s="920">
        <f>ROUND(C14*E10,2)</f>
        <v>327.43</v>
      </c>
      <c r="E14" s="920">
        <f>C14+D14</f>
        <v>1715.43</v>
      </c>
      <c r="F14" s="920">
        <f>C14*12</f>
        <v>16656</v>
      </c>
      <c r="G14" s="920">
        <f>F14*E10</f>
        <v>3929.1504</v>
      </c>
      <c r="H14" s="920">
        <f>F14+G14</f>
        <v>20585.150399999999</v>
      </c>
    </row>
    <row r="15" spans="1:8">
      <c r="A15" s="255" t="s">
        <v>265</v>
      </c>
    </row>
    <row r="17" spans="1:8">
      <c r="A17" s="917" t="s">
        <v>266</v>
      </c>
      <c r="B17" s="917"/>
    </row>
    <row r="18" spans="1:8" s="470" customFormat="1" ht="45">
      <c r="A18" s="921" t="s">
        <v>267</v>
      </c>
      <c r="B18" s="921"/>
      <c r="C18" s="925" t="s">
        <v>268</v>
      </c>
      <c r="D18" s="925" t="s">
        <v>871</v>
      </c>
      <c r="E18" s="925" t="s">
        <v>872</v>
      </c>
      <c r="F18" s="925" t="s">
        <v>873</v>
      </c>
      <c r="G18" s="925" t="s">
        <v>874</v>
      </c>
      <c r="H18" s="660"/>
    </row>
    <row r="19" spans="1:8">
      <c r="A19" s="427" t="s">
        <v>270</v>
      </c>
      <c r="B19" s="427"/>
      <c r="C19" s="427">
        <v>26.68</v>
      </c>
      <c r="D19" s="922">
        <v>2000</v>
      </c>
      <c r="E19" s="923">
        <f>C19*D19</f>
        <v>53360</v>
      </c>
      <c r="F19" s="922">
        <v>2500</v>
      </c>
      <c r="G19" s="924">
        <f>SUM(F19*C19)</f>
        <v>66700</v>
      </c>
    </row>
    <row r="20" spans="1:8">
      <c r="A20" s="255" t="s">
        <v>271</v>
      </c>
    </row>
    <row r="29" spans="1:8">
      <c r="C29" s="831"/>
      <c r="G29" s="917"/>
    </row>
  </sheetData>
  <pageMargins left="0.7" right="0.7" top="0.75" bottom="0.75" header="0.3" footer="0.3"/>
  <pageSetup paperSize="9" scale="57" orientation="portrait"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20"/>
  <sheetViews>
    <sheetView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C1" s="900" t="s">
        <v>967</v>
      </c>
    </row>
    <row r="2" spans="1:13">
      <c r="A2" s="1520" t="s">
        <v>875</v>
      </c>
      <c r="B2" s="1520"/>
      <c r="C2" s="1520"/>
      <c r="D2" s="901"/>
    </row>
    <row r="3" spans="1:13">
      <c r="A3" s="1476" t="s">
        <v>1</v>
      </c>
      <c r="B3" s="1527" t="s">
        <v>1039</v>
      </c>
      <c r="C3" s="1527"/>
      <c r="D3" s="901"/>
    </row>
    <row r="4" spans="1:13">
      <c r="A4" s="1477"/>
      <c r="B4" s="902" t="s">
        <v>653</v>
      </c>
      <c r="C4" s="903" t="s">
        <v>654</v>
      </c>
      <c r="D4" s="904"/>
    </row>
    <row r="5" spans="1:13" ht="47.45" customHeight="1">
      <c r="A5" s="905" t="s">
        <v>875</v>
      </c>
      <c r="B5" s="906"/>
      <c r="C5" s="488">
        <f>30000*1.21</f>
        <v>36300</v>
      </c>
      <c r="D5" s="904"/>
    </row>
    <row r="6" spans="1:13" ht="92.1" customHeight="1">
      <c r="A6" s="1519" t="s">
        <v>1094</v>
      </c>
      <c r="B6" s="1519"/>
      <c r="C6" s="1519"/>
      <c r="D6" s="904"/>
    </row>
    <row r="7" spans="1:13">
      <c r="A7" s="1521"/>
      <c r="B7" s="1521"/>
      <c r="C7" s="1521"/>
    </row>
    <row r="13" spans="1:13">
      <c r="J13" s="1522"/>
      <c r="K13" s="1522"/>
    </row>
    <row r="14" spans="1:13">
      <c r="A14" s="1520" t="s">
        <v>875</v>
      </c>
      <c r="B14" s="1520"/>
      <c r="C14" s="1520"/>
      <c r="D14" s="1520"/>
      <c r="E14" s="1520"/>
      <c r="F14" s="1520"/>
      <c r="G14" s="1520"/>
      <c r="H14" s="1520"/>
      <c r="I14" s="1520"/>
      <c r="J14" s="1520"/>
      <c r="K14" s="1520"/>
    </row>
    <row r="15" spans="1:13" ht="51">
      <c r="A15" s="907"/>
      <c r="B15" s="908" t="s">
        <v>1</v>
      </c>
      <c r="C15" s="908" t="s">
        <v>2</v>
      </c>
      <c r="D15" s="902" t="s">
        <v>3</v>
      </c>
      <c r="E15" s="902" t="s">
        <v>655</v>
      </c>
      <c r="F15" s="902" t="s">
        <v>656</v>
      </c>
      <c r="G15" s="902" t="s">
        <v>657</v>
      </c>
      <c r="H15" s="902" t="s">
        <v>658</v>
      </c>
      <c r="I15" s="902" t="s">
        <v>659</v>
      </c>
      <c r="J15" s="902" t="s">
        <v>660</v>
      </c>
      <c r="K15" s="902" t="s">
        <v>661</v>
      </c>
    </row>
    <row r="16" spans="1:13">
      <c r="A16" s="1523" t="s">
        <v>663</v>
      </c>
      <c r="B16" s="1523" t="s">
        <v>875</v>
      </c>
      <c r="C16" s="1524"/>
      <c r="D16" s="1524"/>
      <c r="E16" s="908" t="s">
        <v>664</v>
      </c>
      <c r="F16" s="906">
        <v>1</v>
      </c>
      <c r="G16" s="906">
        <v>13950</v>
      </c>
      <c r="H16" s="906">
        <f>F16*G16</f>
        <v>13950</v>
      </c>
      <c r="I16" s="906">
        <v>21</v>
      </c>
      <c r="J16" s="906">
        <f>G16*1.21</f>
        <v>16879.5</v>
      </c>
      <c r="K16" s="906">
        <f>F16*J16</f>
        <v>16879.5</v>
      </c>
      <c r="M16" s="911"/>
    </row>
    <row r="17" spans="1:13">
      <c r="A17" s="1523"/>
      <c r="B17" s="1523"/>
      <c r="C17" s="1524"/>
      <c r="D17" s="1524"/>
      <c r="E17" s="908" t="s">
        <v>665</v>
      </c>
      <c r="F17" s="906">
        <v>1</v>
      </c>
      <c r="G17" s="906">
        <v>13950</v>
      </c>
      <c r="H17" s="906">
        <f t="shared" ref="H17:H18" si="0">F17*G17</f>
        <v>13950</v>
      </c>
      <c r="I17" s="906">
        <v>21</v>
      </c>
      <c r="J17" s="906">
        <f t="shared" ref="J17:J18" si="1">G17*1.21</f>
        <v>16879.5</v>
      </c>
      <c r="K17" s="906">
        <f t="shared" ref="K17:K18" si="2">F17*J17</f>
        <v>16879.5</v>
      </c>
      <c r="M17" s="911"/>
    </row>
    <row r="18" spans="1:13" ht="36" customHeight="1">
      <c r="A18" s="1523"/>
      <c r="B18" s="1523"/>
      <c r="C18" s="1524"/>
      <c r="D18" s="1524"/>
      <c r="E18" s="908" t="s">
        <v>666</v>
      </c>
      <c r="F18" s="906">
        <v>3</v>
      </c>
      <c r="G18" s="906">
        <v>700</v>
      </c>
      <c r="H18" s="906">
        <f t="shared" si="0"/>
        <v>2100</v>
      </c>
      <c r="I18" s="906">
        <v>21</v>
      </c>
      <c r="J18" s="906">
        <f t="shared" si="1"/>
        <v>847</v>
      </c>
      <c r="K18" s="906">
        <f t="shared" si="2"/>
        <v>2541</v>
      </c>
      <c r="M18" s="911"/>
    </row>
    <row r="19" spans="1:13">
      <c r="A19" s="487"/>
      <c r="B19" s="487"/>
      <c r="C19" s="487"/>
      <c r="D19" s="487"/>
      <c r="E19" s="487"/>
      <c r="F19" s="487"/>
      <c r="G19" s="487"/>
      <c r="H19" s="912">
        <f>SUM(H16:H18)</f>
        <v>30000</v>
      </c>
      <c r="I19" s="487"/>
      <c r="J19" s="912"/>
      <c r="K19" s="906">
        <f>SUM(K16:K18)</f>
        <v>36300</v>
      </c>
    </row>
    <row r="20" spans="1:13" ht="57.6" customHeight="1">
      <c r="A20" s="1519" t="s">
        <v>1094</v>
      </c>
      <c r="B20" s="1519"/>
      <c r="C20" s="1519"/>
      <c r="D20" s="1519"/>
      <c r="E20" s="1519"/>
      <c r="F20" s="1519"/>
      <c r="G20" s="1519"/>
      <c r="H20" s="1519"/>
      <c r="I20" s="1519"/>
      <c r="J20" s="1519"/>
      <c r="K20" s="1519"/>
    </row>
  </sheetData>
  <mergeCells count="12">
    <mergeCell ref="A20:K20"/>
    <mergeCell ref="A2:C2"/>
    <mergeCell ref="A3:A4"/>
    <mergeCell ref="B3:C3"/>
    <mergeCell ref="A6:C6"/>
    <mergeCell ref="A7:C7"/>
    <mergeCell ref="J13:K13"/>
    <mergeCell ref="A14:K14"/>
    <mergeCell ref="A16:A18"/>
    <mergeCell ref="B16:B18"/>
    <mergeCell ref="C16:C18"/>
    <mergeCell ref="D16:D1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S32"/>
  <sheetViews>
    <sheetView view="pageBreakPreview" zoomScaleNormal="90" zoomScaleSheetLayoutView="100" workbookViewId="0">
      <selection activeCell="A4" sqref="A4"/>
    </sheetView>
  </sheetViews>
  <sheetFormatPr defaultColWidth="9.125" defaultRowHeight="15"/>
  <cols>
    <col min="1" max="1" width="24.125" style="51" customWidth="1"/>
    <col min="2" max="2" width="24.25" style="51" customWidth="1"/>
    <col min="3" max="3" width="22.75" style="51" customWidth="1"/>
    <col min="4" max="4" width="23.875" style="51" customWidth="1"/>
    <col min="5" max="5" width="15.25" style="51" customWidth="1"/>
    <col min="6" max="6" width="13" style="51" customWidth="1"/>
    <col min="7" max="7" width="14.125" style="51" customWidth="1"/>
    <col min="8" max="8" width="15.5" style="51" customWidth="1"/>
    <col min="9" max="9" width="17.875" style="51" customWidth="1"/>
    <col min="10" max="19" width="14.5" style="51" customWidth="1"/>
    <col min="20" max="16384" width="9.125" style="51"/>
  </cols>
  <sheetData>
    <row r="1" spans="1:19">
      <c r="R1" s="166" t="s">
        <v>968</v>
      </c>
    </row>
    <row r="3" spans="1:19" ht="15.75">
      <c r="D3" s="927" t="s">
        <v>725</v>
      </c>
      <c r="I3" s="53"/>
    </row>
    <row r="5" spans="1:19" ht="72.75" customHeight="1">
      <c r="A5" s="4" t="s">
        <v>159</v>
      </c>
      <c r="B5" s="5" t="s">
        <v>181</v>
      </c>
      <c r="C5" s="5" t="s">
        <v>1020</v>
      </c>
      <c r="D5" s="5" t="s">
        <v>1033</v>
      </c>
    </row>
    <row r="6" spans="1:19" ht="60" customHeight="1">
      <c r="A6" s="16" t="s">
        <v>70</v>
      </c>
      <c r="B6" s="622">
        <f>(L26*D26)+(L27*D27)+(L28*D28)+(L29*D29)+(L30*D30)</f>
        <v>1045810.18</v>
      </c>
      <c r="C6" s="21">
        <f>SUM(O26:O30)</f>
        <v>205157.88</v>
      </c>
      <c r="D6" s="21">
        <f>C6</f>
        <v>205157.88</v>
      </c>
    </row>
    <row r="7" spans="1:19" ht="60" customHeight="1">
      <c r="A7" s="16" t="s">
        <v>66</v>
      </c>
      <c r="B7" s="622">
        <f>(J26*D26)+(J27*D27)+(J28*D28)+(J29*D29)+(J30*D30)</f>
        <v>4830207.3800000008</v>
      </c>
      <c r="C7" s="21">
        <f>SUM(M26:M30)</f>
        <v>682625.91000000015</v>
      </c>
      <c r="D7" s="21">
        <f>C7</f>
        <v>682625.91000000015</v>
      </c>
    </row>
    <row r="8" spans="1:19">
      <c r="B8" s="76"/>
    </row>
    <row r="10" spans="1:19" ht="14.45" customHeight="1">
      <c r="A10" s="113" t="s">
        <v>31</v>
      </c>
      <c r="B10" s="113" t="s">
        <v>31</v>
      </c>
      <c r="C10" s="113" t="s">
        <v>31</v>
      </c>
      <c r="D10" s="113" t="s">
        <v>31</v>
      </c>
      <c r="E10" s="113" t="s">
        <v>31</v>
      </c>
      <c r="F10" s="16" t="s">
        <v>251</v>
      </c>
      <c r="G10" s="114" t="s">
        <v>252</v>
      </c>
      <c r="H10" s="114" t="s">
        <v>253</v>
      </c>
      <c r="I10" s="114" t="s">
        <v>254</v>
      </c>
      <c r="J10" s="119" t="s">
        <v>31</v>
      </c>
      <c r="K10" s="113" t="s">
        <v>31</v>
      </c>
      <c r="L10" s="113" t="s">
        <v>31</v>
      </c>
      <c r="M10" s="113" t="s">
        <v>31</v>
      </c>
      <c r="N10" s="1528" t="s">
        <v>272</v>
      </c>
      <c r="O10" s="1528" t="s">
        <v>273</v>
      </c>
      <c r="P10" s="1528" t="s">
        <v>274</v>
      </c>
      <c r="Q10" s="113" t="s">
        <v>31</v>
      </c>
      <c r="R10" s="113" t="s">
        <v>31</v>
      </c>
      <c r="S10" s="113" t="s">
        <v>31</v>
      </c>
    </row>
    <row r="11" spans="1:19" ht="27.75" customHeight="1">
      <c r="A11" s="113" t="s">
        <v>31</v>
      </c>
      <c r="B11" s="113" t="s">
        <v>31</v>
      </c>
      <c r="C11" s="113" t="s">
        <v>31</v>
      </c>
      <c r="D11" s="113" t="s">
        <v>31</v>
      </c>
      <c r="E11" s="115" t="s">
        <v>255</v>
      </c>
      <c r="F11" s="116">
        <v>2304</v>
      </c>
      <c r="G11" s="117">
        <v>1388</v>
      </c>
      <c r="H11" s="117">
        <v>925</v>
      </c>
      <c r="I11" s="118" t="s">
        <v>31</v>
      </c>
      <c r="J11" s="113" t="s">
        <v>31</v>
      </c>
      <c r="K11" s="113" t="s">
        <v>31</v>
      </c>
      <c r="L11" s="113" t="s">
        <v>31</v>
      </c>
      <c r="M11" s="113" t="s">
        <v>31</v>
      </c>
      <c r="N11" s="1529"/>
      <c r="O11" s="1529"/>
      <c r="P11" s="1529"/>
      <c r="Q11" s="113" t="s">
        <v>31</v>
      </c>
      <c r="R11" s="113" t="s">
        <v>31</v>
      </c>
      <c r="S11" s="113" t="s">
        <v>31</v>
      </c>
    </row>
    <row r="12" spans="1:19" ht="30">
      <c r="A12" s="113" t="s">
        <v>31</v>
      </c>
      <c r="B12" s="113" t="s">
        <v>31</v>
      </c>
      <c r="C12" s="113" t="s">
        <v>31</v>
      </c>
      <c r="D12" s="113" t="s">
        <v>31</v>
      </c>
      <c r="E12" s="115" t="s">
        <v>256</v>
      </c>
      <c r="F12" s="120">
        <f>ROUND(F11/9600,4)</f>
        <v>0.24</v>
      </c>
      <c r="G12" s="120">
        <f t="shared" ref="G12:H12" si="0">ROUND(G11/9600,4)</f>
        <v>0.14460000000000001</v>
      </c>
      <c r="H12" s="120">
        <f t="shared" si="0"/>
        <v>9.64E-2</v>
      </c>
      <c r="I12" s="118">
        <v>0.2359</v>
      </c>
      <c r="J12" s="113" t="s">
        <v>31</v>
      </c>
      <c r="K12" s="113" t="s">
        <v>31</v>
      </c>
      <c r="L12" s="113" t="s">
        <v>31</v>
      </c>
      <c r="M12" s="113" t="s">
        <v>275</v>
      </c>
      <c r="N12" s="16">
        <v>0.28570000000000001</v>
      </c>
      <c r="O12" s="114">
        <v>2.0199999999999999E-2</v>
      </c>
      <c r="P12" s="114">
        <v>3.2199999999999999E-2</v>
      </c>
      <c r="Q12" s="113" t="s">
        <v>31</v>
      </c>
      <c r="R12" s="113" t="s">
        <v>31</v>
      </c>
      <c r="S12" s="113" t="s">
        <v>31</v>
      </c>
    </row>
    <row r="13" spans="1:19">
      <c r="A13" s="113" t="s">
        <v>31</v>
      </c>
      <c r="B13" s="113" t="s">
        <v>31</v>
      </c>
      <c r="C13" s="113" t="s">
        <v>31</v>
      </c>
      <c r="D13" s="113" t="s">
        <v>31</v>
      </c>
      <c r="E13" s="113" t="s">
        <v>31</v>
      </c>
      <c r="F13" s="113" t="s">
        <v>31</v>
      </c>
      <c r="G13" s="113" t="s">
        <v>31</v>
      </c>
      <c r="H13" s="113" t="s">
        <v>31</v>
      </c>
      <c r="I13" s="113" t="s">
        <v>31</v>
      </c>
      <c r="J13" s="113" t="s">
        <v>31</v>
      </c>
      <c r="K13" s="113" t="s">
        <v>31</v>
      </c>
      <c r="L13" s="113" t="s">
        <v>31</v>
      </c>
      <c r="M13" s="113" t="s">
        <v>31</v>
      </c>
      <c r="N13" s="113" t="s">
        <v>31</v>
      </c>
      <c r="O13" s="113" t="s">
        <v>31</v>
      </c>
      <c r="P13" s="113" t="s">
        <v>31</v>
      </c>
      <c r="Q13" s="113" t="s">
        <v>31</v>
      </c>
      <c r="R13" s="113" t="s">
        <v>31</v>
      </c>
      <c r="S13" s="113" t="s">
        <v>31</v>
      </c>
    </row>
    <row r="14" spans="1:19" ht="14.45" customHeight="1">
      <c r="A14" s="1530" t="s">
        <v>183</v>
      </c>
      <c r="B14" s="1530" t="s">
        <v>182</v>
      </c>
      <c r="C14" s="1533" t="s">
        <v>276</v>
      </c>
      <c r="D14" s="1533"/>
      <c r="E14" s="1533"/>
      <c r="F14" s="1533"/>
      <c r="G14" s="1533"/>
      <c r="H14" s="1533"/>
      <c r="I14" s="1533"/>
      <c r="J14" s="1533"/>
      <c r="K14" s="1533"/>
      <c r="L14" s="1534"/>
      <c r="M14" s="1535" t="s">
        <v>31</v>
      </c>
      <c r="N14" s="1535"/>
      <c r="O14" s="1535"/>
      <c r="P14" s="1536"/>
      <c r="Q14" s="1530" t="s">
        <v>277</v>
      </c>
      <c r="R14" s="1530" t="s">
        <v>278</v>
      </c>
      <c r="S14" s="1530" t="s">
        <v>184</v>
      </c>
    </row>
    <row r="15" spans="1:19" ht="14.45" customHeight="1">
      <c r="A15" s="1531"/>
      <c r="B15" s="1531"/>
      <c r="C15" s="1535" t="s">
        <v>279</v>
      </c>
      <c r="D15" s="1535"/>
      <c r="E15" s="1536"/>
      <c r="F15" s="1535" t="s">
        <v>280</v>
      </c>
      <c r="G15" s="1535"/>
      <c r="H15" s="1536"/>
      <c r="I15" s="122" t="s">
        <v>281</v>
      </c>
      <c r="J15" s="1535" t="s">
        <v>282</v>
      </c>
      <c r="K15" s="1535"/>
      <c r="L15" s="1536"/>
      <c r="M15" s="1531" t="s">
        <v>283</v>
      </c>
      <c r="N15" s="1531" t="s">
        <v>284</v>
      </c>
      <c r="O15" s="1531" t="s">
        <v>285</v>
      </c>
      <c r="P15" s="1531" t="s">
        <v>286</v>
      </c>
      <c r="Q15" s="1531"/>
      <c r="R15" s="1531"/>
      <c r="S15" s="1531"/>
    </row>
    <row r="16" spans="1:19" ht="14.45" customHeight="1">
      <c r="A16" s="1532"/>
      <c r="B16" s="1532"/>
      <c r="C16" s="122" t="s">
        <v>287</v>
      </c>
      <c r="D16" s="122" t="s">
        <v>288</v>
      </c>
      <c r="E16" s="122" t="s">
        <v>289</v>
      </c>
      <c r="F16" s="237" t="s">
        <v>287</v>
      </c>
      <c r="G16" s="237" t="s">
        <v>288</v>
      </c>
      <c r="H16" s="122" t="s">
        <v>290</v>
      </c>
      <c r="I16" s="237" t="s">
        <v>291</v>
      </c>
      <c r="J16" s="122" t="s">
        <v>292</v>
      </c>
      <c r="K16" s="122" t="s">
        <v>293</v>
      </c>
      <c r="L16" s="122" t="s">
        <v>294</v>
      </c>
      <c r="M16" s="1532"/>
      <c r="N16" s="1531"/>
      <c r="O16" s="1531"/>
      <c r="P16" s="1531"/>
      <c r="Q16" s="1531"/>
      <c r="R16" s="1531"/>
      <c r="S16" s="1531"/>
    </row>
    <row r="17" spans="1:19" ht="28.5" customHeight="1">
      <c r="A17" s="224" t="str">
        <f>0&amp;6021</f>
        <v>06021</v>
      </c>
      <c r="B17" s="223" t="s">
        <v>295</v>
      </c>
      <c r="C17" s="223">
        <v>45</v>
      </c>
      <c r="D17" s="223">
        <v>45</v>
      </c>
      <c r="E17" s="236">
        <v>0</v>
      </c>
      <c r="F17" s="234">
        <f>C17*$F$12</f>
        <v>10.799999999999999</v>
      </c>
      <c r="G17" s="238">
        <f>D17*$G$12</f>
        <v>6.5070000000000006</v>
      </c>
      <c r="H17" s="236">
        <v>0</v>
      </c>
      <c r="I17" s="238">
        <f>(F17+G17)*$I$12</f>
        <v>4.0827212999999993</v>
      </c>
      <c r="J17" s="243">
        <f>K17+L17</f>
        <v>3.2</v>
      </c>
      <c r="K17" s="223">
        <v>0.93</v>
      </c>
      <c r="L17" s="223">
        <v>2.27</v>
      </c>
      <c r="M17" s="236">
        <v>2.2400000000000002</v>
      </c>
      <c r="N17" s="238">
        <f>ROUNDUP((F17+G17)*$N$12,2)</f>
        <v>4.95</v>
      </c>
      <c r="O17" s="238">
        <f>(F17+G17)*$O$12</f>
        <v>0.34960139999999995</v>
      </c>
      <c r="P17" s="238">
        <f>(F17+G17)*$P$12</f>
        <v>0.55728539999999993</v>
      </c>
      <c r="Q17" s="239">
        <f>ROUND(F17+G17+I17+J17+M17+N17+O17+P17,2)</f>
        <v>32.69</v>
      </c>
      <c r="R17" s="240">
        <v>4</v>
      </c>
      <c r="S17" s="239">
        <f>ROUND(Q17-R17,2)</f>
        <v>28.69</v>
      </c>
    </row>
    <row r="18" spans="1:19" ht="30">
      <c r="A18" s="191" t="str">
        <f>0&amp;6033</f>
        <v>06033</v>
      </c>
      <c r="B18" s="225" t="s">
        <v>296</v>
      </c>
      <c r="C18" s="226">
        <v>81</v>
      </c>
      <c r="D18" s="226">
        <v>50</v>
      </c>
      <c r="E18" s="230">
        <v>0</v>
      </c>
      <c r="F18" s="234">
        <f>C18*$F$12</f>
        <v>19.439999999999998</v>
      </c>
      <c r="G18" s="234">
        <f>D18*$G$12</f>
        <v>7.23</v>
      </c>
      <c r="H18" s="230">
        <v>0</v>
      </c>
      <c r="I18" s="242">
        <f>(F18+G18)*$I$12</f>
        <v>6.2914529999999997</v>
      </c>
      <c r="J18" s="244">
        <f>K18+L18</f>
        <v>7.87</v>
      </c>
      <c r="K18" s="227">
        <v>1.83</v>
      </c>
      <c r="L18" s="227">
        <v>6.04</v>
      </c>
      <c r="M18" s="230">
        <v>12.94</v>
      </c>
      <c r="N18" s="238">
        <f>(F18+G18)*$N$12</f>
        <v>7.6196190000000001</v>
      </c>
      <c r="O18" s="238">
        <f>(F18+G18)*$O$12</f>
        <v>0.53873399999999994</v>
      </c>
      <c r="P18" s="238">
        <f>(F18+G18)*$P$12</f>
        <v>0.85877399999999993</v>
      </c>
      <c r="Q18" s="239">
        <f>ROUND(F18+G18+I18+J18+M18+N18+O18+P18,2)</f>
        <v>62.79</v>
      </c>
      <c r="R18" s="239">
        <v>4</v>
      </c>
      <c r="S18" s="239">
        <f>ROUND(Q18-R18,2)</f>
        <v>58.79</v>
      </c>
    </row>
    <row r="19" spans="1:19" s="144" customFormat="1" ht="75">
      <c r="A19" s="191" t="str">
        <f>0&amp;6034</f>
        <v>06034</v>
      </c>
      <c r="B19" s="241" t="s">
        <v>297</v>
      </c>
      <c r="C19" s="228">
        <v>110</v>
      </c>
      <c r="D19" s="228">
        <v>110</v>
      </c>
      <c r="E19" s="228">
        <v>0</v>
      </c>
      <c r="F19" s="238">
        <f t="shared" ref="F19" si="1">C19*$F$12</f>
        <v>26.4</v>
      </c>
      <c r="G19" s="238">
        <f t="shared" ref="G19" si="2">D19*$G$12</f>
        <v>15.906000000000001</v>
      </c>
      <c r="H19" s="228">
        <v>0</v>
      </c>
      <c r="I19" s="242">
        <f t="shared" ref="I19:I21" si="3">(F19+G19)*$I$12</f>
        <v>9.9799853999999986</v>
      </c>
      <c r="J19" s="16">
        <f t="shared" ref="J19:J21" si="4">K19+L19</f>
        <v>18.29</v>
      </c>
      <c r="K19" s="229">
        <v>11.65</v>
      </c>
      <c r="L19" s="228">
        <v>6.64</v>
      </c>
      <c r="M19" s="228">
        <v>23.03</v>
      </c>
      <c r="N19" s="238">
        <f t="shared" ref="N19:N21" si="5">(F19+G19)*$N$12</f>
        <v>12.086824199999999</v>
      </c>
      <c r="O19" s="238">
        <f t="shared" ref="O19:O21" si="6">(F19+G19)*$O$12</f>
        <v>0.85458119999999993</v>
      </c>
      <c r="P19" s="238">
        <f t="shared" ref="P19:P21" si="7">(F19+G19)*$P$12</f>
        <v>1.3622531999999998</v>
      </c>
      <c r="Q19" s="239">
        <f t="shared" ref="Q19:Q21" si="8">ROUND(F19+G19+I19+J19+M19+N19+O19+P19,2)</f>
        <v>107.91</v>
      </c>
      <c r="R19" s="228">
        <v>4</v>
      </c>
      <c r="S19" s="239">
        <f t="shared" ref="S19:S21" si="9">ROUND(Q19-R19,2)</f>
        <v>103.91</v>
      </c>
    </row>
    <row r="20" spans="1:19" s="144" customFormat="1">
      <c r="A20" s="191" t="str">
        <f>0&amp;6035</f>
        <v>06035</v>
      </c>
      <c r="B20" s="241" t="s">
        <v>298</v>
      </c>
      <c r="C20" s="228">
        <v>46</v>
      </c>
      <c r="D20" s="228">
        <v>46</v>
      </c>
      <c r="E20" s="228">
        <v>0</v>
      </c>
      <c r="F20" s="238">
        <f>ROUND(C20*$F$12,2)</f>
        <v>11.04</v>
      </c>
      <c r="G20" s="238">
        <f>ROUND(D20*$G$12,2)</f>
        <v>6.65</v>
      </c>
      <c r="H20" s="245">
        <v>0</v>
      </c>
      <c r="I20" s="242">
        <f t="shared" si="3"/>
        <v>4.1730709999999993</v>
      </c>
      <c r="J20" s="246">
        <f t="shared" si="4"/>
        <v>5.2299999999999995</v>
      </c>
      <c r="K20" s="247">
        <v>1.64</v>
      </c>
      <c r="L20" s="245">
        <v>3.59</v>
      </c>
      <c r="M20" s="245">
        <v>11.69</v>
      </c>
      <c r="N20" s="238">
        <f t="shared" si="5"/>
        <v>5.0540329999999996</v>
      </c>
      <c r="O20" s="238">
        <f t="shared" si="6"/>
        <v>0.35733799999999993</v>
      </c>
      <c r="P20" s="238">
        <f t="shared" si="7"/>
        <v>0.56961799999999996</v>
      </c>
      <c r="Q20" s="239">
        <f t="shared" si="8"/>
        <v>44.76</v>
      </c>
      <c r="R20" s="245">
        <v>4</v>
      </c>
      <c r="S20" s="239">
        <f t="shared" si="9"/>
        <v>40.76</v>
      </c>
    </row>
    <row r="21" spans="1:19" s="144" customFormat="1" ht="90">
      <c r="A21" s="191" t="str">
        <f>0&amp;6041</f>
        <v>06041</v>
      </c>
      <c r="B21" s="241" t="s">
        <v>299</v>
      </c>
      <c r="C21" s="228">
        <v>85</v>
      </c>
      <c r="D21" s="228">
        <v>55</v>
      </c>
      <c r="E21" s="228">
        <v>0</v>
      </c>
      <c r="F21" s="234">
        <f>ROUND(C21*$F$12,2)</f>
        <v>20.399999999999999</v>
      </c>
      <c r="G21" s="238">
        <f>ROUND(D21*$G$12,2)</f>
        <v>7.95</v>
      </c>
      <c r="H21" s="228">
        <v>0</v>
      </c>
      <c r="I21" s="242">
        <f t="shared" si="3"/>
        <v>6.6877649999999997</v>
      </c>
      <c r="J21" s="16">
        <f t="shared" si="4"/>
        <v>21.990000000000002</v>
      </c>
      <c r="K21" s="229">
        <v>13.69</v>
      </c>
      <c r="L21" s="228">
        <v>8.3000000000000007</v>
      </c>
      <c r="M21" s="228">
        <v>26.78</v>
      </c>
      <c r="N21" s="238">
        <f t="shared" si="5"/>
        <v>8.099594999999999</v>
      </c>
      <c r="O21" s="238">
        <f t="shared" si="6"/>
        <v>0.5726699999999999</v>
      </c>
      <c r="P21" s="238">
        <f t="shared" si="7"/>
        <v>0.91286999999999996</v>
      </c>
      <c r="Q21" s="239">
        <f t="shared" si="8"/>
        <v>93.39</v>
      </c>
      <c r="R21" s="228">
        <v>4</v>
      </c>
      <c r="S21" s="239">
        <f t="shared" si="9"/>
        <v>89.39</v>
      </c>
    </row>
    <row r="22" spans="1:19" s="144" customFormat="1"/>
    <row r="24" spans="1:19" ht="48.75" customHeight="1">
      <c r="A24" s="1537" t="s">
        <v>183</v>
      </c>
      <c r="B24" s="1537" t="s">
        <v>300</v>
      </c>
      <c r="C24" s="1537" t="s">
        <v>301</v>
      </c>
      <c r="D24" s="1537" t="s">
        <v>302</v>
      </c>
      <c r="E24" s="1539" t="s">
        <v>303</v>
      </c>
      <c r="F24" s="1537" t="s">
        <v>304</v>
      </c>
      <c r="G24" s="1537" t="s">
        <v>197</v>
      </c>
      <c r="H24" s="1537" t="s">
        <v>305</v>
      </c>
      <c r="I24" s="1537" t="s">
        <v>1034</v>
      </c>
      <c r="J24" s="1540" t="s">
        <v>306</v>
      </c>
      <c r="K24" s="1541"/>
      <c r="L24" s="1541"/>
      <c r="M24" s="1540" t="s">
        <v>307</v>
      </c>
      <c r="N24" s="1541"/>
      <c r="O24" s="1542"/>
    </row>
    <row r="25" spans="1:19">
      <c r="A25" s="1538"/>
      <c r="B25" s="1538"/>
      <c r="C25" s="1538"/>
      <c r="D25" s="1538"/>
      <c r="E25" s="1539"/>
      <c r="F25" s="1543"/>
      <c r="G25" s="1543"/>
      <c r="H25" s="1543"/>
      <c r="I25" s="1543"/>
      <c r="J25" s="933" t="s">
        <v>308</v>
      </c>
      <c r="K25" s="933" t="s">
        <v>309</v>
      </c>
      <c r="L25" s="934" t="s">
        <v>310</v>
      </c>
      <c r="M25" s="932" t="s">
        <v>308</v>
      </c>
      <c r="N25" s="932" t="s">
        <v>309</v>
      </c>
      <c r="O25" s="934" t="s">
        <v>310</v>
      </c>
    </row>
    <row r="26" spans="1:19" ht="27" customHeight="1">
      <c r="A26" s="231" t="str">
        <f>0&amp;6021</f>
        <v>06021</v>
      </c>
      <c r="B26" s="16" t="str">
        <f>B17</f>
        <v>Veloergometrijas slodzes tests</v>
      </c>
      <c r="C26" s="232" t="s">
        <v>311</v>
      </c>
      <c r="D26" s="16">
        <v>26.23</v>
      </c>
      <c r="E26" s="233">
        <f>S17</f>
        <v>28.69</v>
      </c>
      <c r="F26" s="928">
        <f>J26+L26</f>
        <v>25704</v>
      </c>
      <c r="G26" s="16">
        <v>1</v>
      </c>
      <c r="H26" s="125">
        <f>E26-D26</f>
        <v>2.4600000000000009</v>
      </c>
      <c r="I26" s="235">
        <f>F26*H26</f>
        <v>63231.840000000018</v>
      </c>
      <c r="J26" s="928">
        <v>25296</v>
      </c>
      <c r="K26" s="928">
        <v>0</v>
      </c>
      <c r="L26" s="929">
        <v>408</v>
      </c>
      <c r="M26" s="929">
        <f>J26*H26</f>
        <v>62228.160000000018</v>
      </c>
      <c r="N26" s="929">
        <v>0</v>
      </c>
      <c r="O26" s="929">
        <f>L26*H26</f>
        <v>1003.6800000000003</v>
      </c>
    </row>
    <row r="27" spans="1:19" ht="30">
      <c r="A27" s="124" t="str">
        <f>0&amp;6033</f>
        <v>06033</v>
      </c>
      <c r="B27" s="125" t="s">
        <v>296</v>
      </c>
      <c r="C27" s="232" t="s">
        <v>311</v>
      </c>
      <c r="D27" s="125">
        <v>51.33</v>
      </c>
      <c r="E27" s="222">
        <f>S18</f>
        <v>58.79</v>
      </c>
      <c r="F27" s="930">
        <f>J27+L27</f>
        <v>95952</v>
      </c>
      <c r="G27" s="125">
        <v>1</v>
      </c>
      <c r="H27" s="125">
        <f>E27-D27</f>
        <v>7.4600000000000009</v>
      </c>
      <c r="I27" s="235">
        <f>F27*H27</f>
        <v>715801.92</v>
      </c>
      <c r="J27" s="930">
        <v>79472</v>
      </c>
      <c r="K27" s="930">
        <v>0</v>
      </c>
      <c r="L27" s="930">
        <v>16480</v>
      </c>
      <c r="M27" s="929">
        <f t="shared" ref="M27:M30" si="10">J27*H27</f>
        <v>592861.12000000011</v>
      </c>
      <c r="N27" s="929">
        <v>0</v>
      </c>
      <c r="O27" s="929">
        <f t="shared" ref="O27:O30" si="11">L27*H27</f>
        <v>122940.80000000002</v>
      </c>
    </row>
    <row r="28" spans="1:19" ht="75">
      <c r="A28" s="191" t="str">
        <f>0&amp;6034</f>
        <v>06034</v>
      </c>
      <c r="B28" s="231" t="s">
        <v>297</v>
      </c>
      <c r="C28" s="232" t="s">
        <v>311</v>
      </c>
      <c r="D28" s="231">
        <v>85.88</v>
      </c>
      <c r="E28" s="233">
        <f t="shared" ref="E28:E30" si="12">S19</f>
        <v>103.91</v>
      </c>
      <c r="F28" s="931">
        <f t="shared" ref="F28:F30" si="13">J28+L28</f>
        <v>600</v>
      </c>
      <c r="G28" s="231">
        <v>1</v>
      </c>
      <c r="H28" s="125">
        <f t="shared" ref="H28:H30" si="14">E28-D28</f>
        <v>18.03</v>
      </c>
      <c r="I28" s="235">
        <f t="shared" ref="I28:I30" si="15">F28*H28</f>
        <v>10818</v>
      </c>
      <c r="J28" s="931">
        <v>596</v>
      </c>
      <c r="K28" s="931">
        <v>0</v>
      </c>
      <c r="L28" s="931">
        <v>4</v>
      </c>
      <c r="M28" s="929">
        <f t="shared" si="10"/>
        <v>10745.880000000001</v>
      </c>
      <c r="N28" s="929">
        <v>0</v>
      </c>
      <c r="O28" s="929">
        <f t="shared" si="11"/>
        <v>72.12</v>
      </c>
    </row>
    <row r="29" spans="1:19">
      <c r="A29" s="191" t="str">
        <f>0&amp;6035</f>
        <v>06035</v>
      </c>
      <c r="B29" s="231" t="s">
        <v>298</v>
      </c>
      <c r="C29" s="232" t="s">
        <v>311</v>
      </c>
      <c r="D29" s="231">
        <v>30.63</v>
      </c>
      <c r="E29" s="222">
        <f t="shared" si="12"/>
        <v>40.76</v>
      </c>
      <c r="F29" s="931">
        <f t="shared" si="13"/>
        <v>1641</v>
      </c>
      <c r="G29" s="231">
        <v>1</v>
      </c>
      <c r="H29" s="125">
        <f t="shared" si="14"/>
        <v>10.129999999999999</v>
      </c>
      <c r="I29" s="235">
        <f t="shared" si="15"/>
        <v>16623.329999999998</v>
      </c>
      <c r="J29" s="931">
        <v>13</v>
      </c>
      <c r="K29" s="931">
        <v>0</v>
      </c>
      <c r="L29" s="931">
        <v>1628</v>
      </c>
      <c r="M29" s="929">
        <f t="shared" si="10"/>
        <v>131.69</v>
      </c>
      <c r="N29" s="929">
        <v>0</v>
      </c>
      <c r="O29" s="929">
        <f t="shared" si="11"/>
        <v>16491.64</v>
      </c>
    </row>
    <row r="30" spans="1:19" ht="90">
      <c r="A30" s="191" t="str">
        <f>0&amp;6041</f>
        <v>06041</v>
      </c>
      <c r="B30" s="231" t="s">
        <v>299</v>
      </c>
      <c r="C30" s="232" t="s">
        <v>311</v>
      </c>
      <c r="D30" s="231">
        <v>61.01</v>
      </c>
      <c r="E30" s="233">
        <f t="shared" si="12"/>
        <v>89.39</v>
      </c>
      <c r="F30" s="931">
        <f t="shared" si="13"/>
        <v>2865</v>
      </c>
      <c r="G30" s="231">
        <v>1</v>
      </c>
      <c r="H30" s="125">
        <f t="shared" si="14"/>
        <v>28.380000000000003</v>
      </c>
      <c r="I30" s="235">
        <f t="shared" si="15"/>
        <v>81308.700000000012</v>
      </c>
      <c r="J30" s="931">
        <v>587</v>
      </c>
      <c r="K30" s="931">
        <v>0</v>
      </c>
      <c r="L30" s="931">
        <v>2278</v>
      </c>
      <c r="M30" s="929">
        <f t="shared" si="10"/>
        <v>16659.060000000001</v>
      </c>
      <c r="N30" s="929">
        <v>0</v>
      </c>
      <c r="O30" s="929">
        <f t="shared" si="11"/>
        <v>64649.640000000007</v>
      </c>
    </row>
    <row r="31" spans="1:19">
      <c r="A31" s="51" t="s">
        <v>312</v>
      </c>
      <c r="I31" s="76">
        <f>SUM(I26:I30)</f>
        <v>887783.79</v>
      </c>
      <c r="J31" s="76">
        <f>SUM(J26:J30)</f>
        <v>105964</v>
      </c>
      <c r="K31" s="76"/>
      <c r="L31" s="76">
        <f>SUM(L26:L30)</f>
        <v>20798</v>
      </c>
      <c r="M31" s="76">
        <f>SUM(M26:M30)</f>
        <v>682625.91000000015</v>
      </c>
      <c r="N31" s="76"/>
      <c r="O31" s="76">
        <f>SUM(O26:O30)</f>
        <v>205157.88</v>
      </c>
    </row>
    <row r="32" spans="1:19">
      <c r="A32" s="51" t="s">
        <v>313</v>
      </c>
    </row>
  </sheetData>
  <mergeCells count="28">
    <mergeCell ref="M24:O24"/>
    <mergeCell ref="F24:F25"/>
    <mergeCell ref="G24:G25"/>
    <mergeCell ref="H24:H25"/>
    <mergeCell ref="I24:I25"/>
    <mergeCell ref="J24:L24"/>
    <mergeCell ref="A24:A25"/>
    <mergeCell ref="B24:B25"/>
    <mergeCell ref="C24:C25"/>
    <mergeCell ref="D24:D25"/>
    <mergeCell ref="E24:E25"/>
    <mergeCell ref="Q14:Q16"/>
    <mergeCell ref="R14:R16"/>
    <mergeCell ref="S14:S16"/>
    <mergeCell ref="C15:E15"/>
    <mergeCell ref="F15:H15"/>
    <mergeCell ref="J15:L15"/>
    <mergeCell ref="M15:M16"/>
    <mergeCell ref="N15:N16"/>
    <mergeCell ref="O15:O16"/>
    <mergeCell ref="P15:P16"/>
    <mergeCell ref="N10:N11"/>
    <mergeCell ref="O10:O11"/>
    <mergeCell ref="P10:P11"/>
    <mergeCell ref="A14:A16"/>
    <mergeCell ref="B14:B16"/>
    <mergeCell ref="C14:L14"/>
    <mergeCell ref="M14:P14"/>
  </mergeCells>
  <pageMargins left="0.7" right="0.7" top="0.75" bottom="0.75" header="0.3" footer="0.3"/>
  <pageSetup paperSize="9" scale="27" orientation="portrait"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5"/>
  <sheetViews>
    <sheetView zoomScaleNormal="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J1" s="166" t="s">
        <v>969</v>
      </c>
    </row>
    <row r="2" spans="1:13">
      <c r="A2" s="1520" t="s">
        <v>667</v>
      </c>
      <c r="B2" s="1520"/>
      <c r="C2" s="1520"/>
      <c r="D2" s="901"/>
    </row>
    <row r="3" spans="1:13">
      <c r="A3" s="1476" t="s">
        <v>1</v>
      </c>
      <c r="B3" s="1527" t="s">
        <v>1039</v>
      </c>
      <c r="C3" s="1527"/>
      <c r="D3" s="901"/>
    </row>
    <row r="4" spans="1:13">
      <c r="A4" s="1477"/>
      <c r="B4" s="902" t="s">
        <v>653</v>
      </c>
      <c r="C4" s="903" t="s">
        <v>654</v>
      </c>
      <c r="D4" s="904"/>
    </row>
    <row r="5" spans="1:13" ht="25.5">
      <c r="A5" s="905" t="s">
        <v>72</v>
      </c>
      <c r="B5" s="906">
        <v>0</v>
      </c>
      <c r="C5" s="488">
        <f>27900*1.21</f>
        <v>33759</v>
      </c>
      <c r="D5" s="904"/>
    </row>
    <row r="6" spans="1:13" ht="92.45" customHeight="1">
      <c r="A6" s="1519" t="s">
        <v>1094</v>
      </c>
      <c r="B6" s="1519"/>
      <c r="C6" s="1519"/>
      <c r="D6" s="904"/>
    </row>
    <row r="7" spans="1:13">
      <c r="A7" s="1521"/>
      <c r="B7" s="1521"/>
      <c r="C7" s="1521"/>
    </row>
    <row r="9" spans="1:13">
      <c r="J9" s="1522" t="s">
        <v>651</v>
      </c>
      <c r="K9" s="1522"/>
    </row>
    <row r="10" spans="1:13">
      <c r="A10" s="1520" t="s">
        <v>667</v>
      </c>
      <c r="B10" s="1520"/>
      <c r="C10" s="1520"/>
      <c r="D10" s="1520"/>
      <c r="E10" s="1520"/>
      <c r="F10" s="1520"/>
      <c r="G10" s="1520"/>
      <c r="H10" s="1520"/>
      <c r="I10" s="1520"/>
      <c r="J10" s="1520"/>
      <c r="K10" s="1520"/>
    </row>
    <row r="11" spans="1:13" ht="51">
      <c r="A11" s="907"/>
      <c r="B11" s="908" t="s">
        <v>1</v>
      </c>
      <c r="C11" s="908" t="s">
        <v>2</v>
      </c>
      <c r="D11" s="902" t="s">
        <v>3</v>
      </c>
      <c r="E11" s="902" t="s">
        <v>655</v>
      </c>
      <c r="F11" s="902" t="s">
        <v>656</v>
      </c>
      <c r="G11" s="902" t="s">
        <v>657</v>
      </c>
      <c r="H11" s="902" t="s">
        <v>658</v>
      </c>
      <c r="I11" s="902" t="s">
        <v>659</v>
      </c>
      <c r="J11" s="902" t="s">
        <v>660</v>
      </c>
      <c r="K11" s="902" t="s">
        <v>661</v>
      </c>
    </row>
    <row r="12" spans="1:13" ht="12.75" customHeight="1">
      <c r="A12" s="1544" t="s">
        <v>663</v>
      </c>
      <c r="B12" s="1544" t="s">
        <v>667</v>
      </c>
      <c r="C12" s="1546"/>
      <c r="D12" s="1546"/>
      <c r="E12" s="908" t="s">
        <v>664</v>
      </c>
      <c r="F12" s="906">
        <v>1</v>
      </c>
      <c r="G12" s="906">
        <v>13950</v>
      </c>
      <c r="H12" s="906">
        <f>F12*G12</f>
        <v>13950</v>
      </c>
      <c r="I12" s="906">
        <v>21</v>
      </c>
      <c r="J12" s="906">
        <f>G12*1.21</f>
        <v>16879.5</v>
      </c>
      <c r="K12" s="906">
        <f>F12*J12</f>
        <v>16879.5</v>
      </c>
      <c r="M12" s="911"/>
    </row>
    <row r="13" spans="1:13" ht="40.5" customHeight="1">
      <c r="A13" s="1545"/>
      <c r="B13" s="1545"/>
      <c r="C13" s="1547"/>
      <c r="D13" s="1547"/>
      <c r="E13" s="908" t="s">
        <v>665</v>
      </c>
      <c r="F13" s="906">
        <v>1</v>
      </c>
      <c r="G13" s="906">
        <v>13950</v>
      </c>
      <c r="H13" s="906">
        <f t="shared" ref="H13" si="0">F13*G13</f>
        <v>13950</v>
      </c>
      <c r="I13" s="906">
        <v>21</v>
      </c>
      <c r="J13" s="906">
        <f t="shared" ref="J13" si="1">G13*1.21</f>
        <v>16879.5</v>
      </c>
      <c r="K13" s="906">
        <f t="shared" ref="K13" si="2">F13*J13</f>
        <v>16879.5</v>
      </c>
      <c r="M13" s="911"/>
    </row>
    <row r="14" spans="1:13">
      <c r="A14" s="487"/>
      <c r="B14" s="487"/>
      <c r="C14" s="487"/>
      <c r="D14" s="487"/>
      <c r="E14" s="487"/>
      <c r="F14" s="487"/>
      <c r="G14" s="487"/>
      <c r="H14" s="912">
        <f>SUM(H12:H13)</f>
        <v>27900</v>
      </c>
      <c r="I14" s="487"/>
      <c r="J14" s="912"/>
      <c r="K14" s="906">
        <f>SUM(K12:K13)</f>
        <v>33759</v>
      </c>
    </row>
    <row r="15" spans="1:13" ht="63" customHeight="1">
      <c r="A15" s="1519" t="s">
        <v>1094</v>
      </c>
      <c r="B15" s="1519"/>
      <c r="C15" s="1519"/>
      <c r="D15" s="1519"/>
      <c r="E15" s="1519"/>
      <c r="F15" s="1519"/>
      <c r="G15" s="1519"/>
      <c r="H15" s="1519"/>
      <c r="I15" s="1519"/>
      <c r="J15" s="1519"/>
      <c r="K15" s="1519"/>
    </row>
  </sheetData>
  <mergeCells count="12">
    <mergeCell ref="A15:K15"/>
    <mergeCell ref="A2:C2"/>
    <mergeCell ref="A3:A4"/>
    <mergeCell ref="B3:C3"/>
    <mergeCell ref="A6:C6"/>
    <mergeCell ref="A7:C7"/>
    <mergeCell ref="J9:K9"/>
    <mergeCell ref="A10:K10"/>
    <mergeCell ref="A12:A13"/>
    <mergeCell ref="B12:B13"/>
    <mergeCell ref="C12:C13"/>
    <mergeCell ref="D12:D13"/>
  </mergeCells>
  <pageMargins left="0.7" right="0.7" top="0.75" bottom="0.75" header="0.3" footer="0.3"/>
  <pageSetup paperSize="9" scale="44"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D24"/>
  <sheetViews>
    <sheetView view="pageBreakPreview" zoomScaleNormal="80" zoomScaleSheetLayoutView="100" workbookViewId="0">
      <selection activeCell="A4" sqref="A4"/>
    </sheetView>
  </sheetViews>
  <sheetFormatPr defaultColWidth="9.125" defaultRowHeight="15"/>
  <cols>
    <col min="1" max="1" width="24.125" style="51" customWidth="1"/>
    <col min="2" max="2" width="24.25" style="51" customWidth="1"/>
    <col min="3" max="3" width="22.75" style="51" customWidth="1"/>
    <col min="4" max="4" width="25.5" style="51" customWidth="1"/>
    <col min="5" max="5" width="15.25" style="51" customWidth="1"/>
    <col min="6" max="6" width="13" style="51" customWidth="1"/>
    <col min="7" max="7" width="12.5" style="51" customWidth="1"/>
    <col min="8" max="8" width="15.125" style="51" customWidth="1"/>
    <col min="9" max="9" width="17.875" style="51" customWidth="1"/>
    <col min="10" max="10" width="12.75" style="51" customWidth="1"/>
    <col min="11" max="11" width="9.125" style="51"/>
    <col min="12" max="12" width="13.75" style="51" customWidth="1"/>
    <col min="13" max="13" width="13.125" style="51" customWidth="1"/>
    <col min="14" max="14" width="13" style="51" customWidth="1"/>
    <col min="15" max="15" width="12.25" style="51" customWidth="1"/>
    <col min="16" max="16" width="13.875" style="51" customWidth="1"/>
    <col min="17" max="17" width="12.5" style="51" customWidth="1"/>
    <col min="18" max="18" width="15" style="51" customWidth="1"/>
    <col min="19" max="16382" width="9.125" style="51"/>
    <col min="16383" max="16383" width="9.125" style="51" bestFit="1"/>
    <col min="16384" max="16384" width="9.125" style="51"/>
  </cols>
  <sheetData>
    <row r="1" spans="1:30">
      <c r="A1" s="113"/>
      <c r="B1" s="113"/>
      <c r="C1" s="113"/>
      <c r="D1" s="113"/>
      <c r="E1" s="52"/>
      <c r="F1" s="113"/>
      <c r="G1" s="113"/>
      <c r="H1" s="113"/>
      <c r="I1" s="113"/>
      <c r="J1" s="113"/>
      <c r="K1" s="113"/>
      <c r="L1" s="113"/>
      <c r="M1" s="113"/>
      <c r="N1" s="113"/>
      <c r="O1" s="113"/>
      <c r="P1" s="113"/>
      <c r="Q1" s="166" t="s">
        <v>730</v>
      </c>
      <c r="R1" s="113"/>
      <c r="S1" s="113"/>
      <c r="T1" s="113"/>
      <c r="U1" s="113"/>
      <c r="V1" s="113"/>
      <c r="W1" s="113"/>
      <c r="X1" s="113"/>
      <c r="Y1" s="113"/>
      <c r="Z1" s="113"/>
      <c r="AA1" s="113"/>
      <c r="AB1" s="113"/>
      <c r="AC1" s="113"/>
    </row>
    <row r="2" spans="1:30">
      <c r="A2" s="113"/>
      <c r="B2" s="113"/>
      <c r="C2" s="113"/>
      <c r="D2" s="113"/>
      <c r="F2" s="113"/>
      <c r="G2" s="113"/>
      <c r="H2" s="113"/>
      <c r="I2" s="113"/>
      <c r="J2" s="113"/>
      <c r="K2" s="113"/>
      <c r="L2" s="113"/>
      <c r="M2" s="113"/>
      <c r="N2" s="113"/>
      <c r="O2" s="113"/>
      <c r="P2" s="113"/>
      <c r="Q2" s="113"/>
      <c r="R2" s="113"/>
      <c r="S2" s="113"/>
      <c r="T2" s="113"/>
      <c r="U2" s="113"/>
      <c r="V2" s="113"/>
      <c r="W2" s="113"/>
      <c r="X2" s="113"/>
      <c r="Y2" s="113"/>
      <c r="Z2" s="113"/>
      <c r="AA2" s="113"/>
      <c r="AB2" s="113"/>
      <c r="AC2" s="113"/>
    </row>
    <row r="3" spans="1:30" ht="14.45" customHeight="1">
      <c r="B3" s="657"/>
      <c r="C3" s="657"/>
      <c r="D3" s="113"/>
      <c r="E3" s="939" t="s">
        <v>692</v>
      </c>
      <c r="F3" s="113"/>
      <c r="G3" s="113"/>
      <c r="H3" s="113"/>
      <c r="I3" s="113"/>
      <c r="J3" s="113"/>
      <c r="K3" s="113"/>
      <c r="L3" s="113"/>
      <c r="M3" s="113"/>
      <c r="N3" s="113"/>
      <c r="O3" s="113"/>
      <c r="P3" s="113"/>
      <c r="Q3" s="113"/>
      <c r="R3" s="113"/>
      <c r="S3" s="113"/>
      <c r="T3" s="113"/>
      <c r="U3" s="113"/>
      <c r="V3" s="113"/>
      <c r="W3" s="113"/>
      <c r="X3" s="113"/>
      <c r="Y3" s="113"/>
      <c r="Z3" s="113"/>
      <c r="AA3" s="113"/>
      <c r="AB3" s="113"/>
      <c r="AC3" s="113"/>
    </row>
    <row r="4" spans="1:30">
      <c r="A4" s="113"/>
      <c r="B4" s="113"/>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row>
    <row r="5" spans="1:30" ht="91.5" customHeight="1">
      <c r="A5" s="4" t="s">
        <v>159</v>
      </c>
      <c r="B5" s="5" t="s">
        <v>181</v>
      </c>
      <c r="C5" s="5" t="s">
        <v>1013</v>
      </c>
      <c r="D5" s="5" t="s">
        <v>1035</v>
      </c>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row>
    <row r="6" spans="1:30" ht="68.25" customHeight="1">
      <c r="A6" s="6" t="s">
        <v>66</v>
      </c>
      <c r="B6" s="670">
        <v>0</v>
      </c>
      <c r="C6" s="671">
        <f>H22</f>
        <v>83080</v>
      </c>
      <c r="D6" s="671">
        <f>C6</f>
        <v>83080</v>
      </c>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row>
    <row r="7" spans="1:30">
      <c r="A7" s="121"/>
      <c r="B7" s="121"/>
      <c r="C7" s="121"/>
      <c r="D7" s="121"/>
      <c r="E7" s="121"/>
      <c r="F7" s="121"/>
      <c r="G7" s="121"/>
      <c r="H7" s="121"/>
      <c r="I7" s="113"/>
      <c r="J7" s="113"/>
      <c r="K7" s="113"/>
      <c r="L7" s="121"/>
      <c r="M7" s="121"/>
      <c r="N7" s="121"/>
      <c r="O7" s="121"/>
      <c r="P7" s="126"/>
      <c r="Q7" s="126"/>
      <c r="R7" s="126"/>
      <c r="S7" s="113"/>
      <c r="T7" s="113"/>
      <c r="U7" s="113"/>
      <c r="V7" s="113"/>
      <c r="W7" s="113"/>
      <c r="X7" s="113"/>
      <c r="Y7" s="113"/>
      <c r="Z7" s="113"/>
      <c r="AA7" s="113"/>
      <c r="AB7" s="113"/>
      <c r="AC7" s="113"/>
    </row>
    <row r="8" spans="1:30">
      <c r="A8" s="121"/>
      <c r="B8" s="121"/>
      <c r="C8" s="121"/>
      <c r="D8" s="121"/>
      <c r="E8" s="121"/>
      <c r="F8" s="121"/>
      <c r="G8" s="121"/>
      <c r="H8" s="121"/>
      <c r="I8" s="113"/>
      <c r="J8" s="113"/>
      <c r="K8" s="121"/>
      <c r="L8" s="121"/>
      <c r="M8" s="121"/>
      <c r="N8" s="121"/>
      <c r="O8" s="126"/>
      <c r="P8" s="126"/>
      <c r="Q8" s="126"/>
      <c r="R8" s="113"/>
      <c r="S8" s="113"/>
      <c r="T8" s="113"/>
      <c r="U8" s="113"/>
      <c r="V8" s="113"/>
      <c r="W8" s="113"/>
      <c r="X8" s="113"/>
      <c r="Y8" s="113"/>
      <c r="Z8" s="113"/>
      <c r="AA8" s="113"/>
      <c r="AB8" s="113"/>
      <c r="AC8" s="113"/>
    </row>
    <row r="9" spans="1:30" ht="33.75" customHeight="1">
      <c r="A9" s="22" t="s">
        <v>31</v>
      </c>
      <c r="B9" s="127" t="s">
        <v>251</v>
      </c>
      <c r="C9" s="128" t="s">
        <v>252</v>
      </c>
      <c r="D9" s="128" t="s">
        <v>253</v>
      </c>
      <c r="E9" s="128" t="s">
        <v>254</v>
      </c>
      <c r="F9" s="23" t="s">
        <v>31</v>
      </c>
      <c r="G9" s="22" t="s">
        <v>31</v>
      </c>
      <c r="H9" s="22" t="s">
        <v>31</v>
      </c>
      <c r="I9" s="22" t="s">
        <v>31</v>
      </c>
      <c r="J9" s="1553" t="s">
        <v>272</v>
      </c>
      <c r="K9" s="1553" t="s">
        <v>273</v>
      </c>
      <c r="L9" s="1553" t="s">
        <v>274</v>
      </c>
      <c r="Q9" s="22" t="s">
        <v>31</v>
      </c>
      <c r="R9" s="22" t="s">
        <v>31</v>
      </c>
      <c r="S9" s="22" t="s">
        <v>31</v>
      </c>
      <c r="T9" s="113"/>
      <c r="U9" s="113"/>
      <c r="V9" s="113"/>
      <c r="W9" s="113"/>
      <c r="X9" s="113"/>
      <c r="Y9" s="113"/>
      <c r="Z9" s="113"/>
      <c r="AA9" s="113"/>
      <c r="AB9" s="113"/>
      <c r="AC9" s="113"/>
    </row>
    <row r="10" spans="1:30" ht="38.25" customHeight="1">
      <c r="A10" s="231" t="s">
        <v>255</v>
      </c>
      <c r="B10" s="129">
        <v>2304</v>
      </c>
      <c r="C10" s="130">
        <v>1388</v>
      </c>
      <c r="D10" s="130">
        <v>925</v>
      </c>
      <c r="E10" s="131" t="s">
        <v>31</v>
      </c>
      <c r="F10" s="22" t="s">
        <v>31</v>
      </c>
      <c r="G10" s="22" t="s">
        <v>31</v>
      </c>
      <c r="H10" s="22" t="s">
        <v>31</v>
      </c>
      <c r="I10" s="22" t="s">
        <v>31</v>
      </c>
      <c r="J10" s="1554"/>
      <c r="K10" s="1554"/>
      <c r="L10" s="1554"/>
      <c r="Q10" s="22" t="s">
        <v>31</v>
      </c>
      <c r="R10" s="22" t="s">
        <v>31</v>
      </c>
      <c r="S10" s="22" t="s">
        <v>31</v>
      </c>
      <c r="T10" s="113"/>
      <c r="U10" s="113"/>
      <c r="V10" s="113"/>
      <c r="W10" s="113"/>
      <c r="X10" s="113"/>
      <c r="Y10" s="113"/>
      <c r="Z10" s="113"/>
      <c r="AA10" s="113"/>
      <c r="AB10" s="113"/>
      <c r="AC10" s="113"/>
    </row>
    <row r="11" spans="1:30" ht="48" customHeight="1">
      <c r="A11" s="231" t="s">
        <v>256</v>
      </c>
      <c r="B11" s="132">
        <f>ROUND(B10/9600,4)</f>
        <v>0.24</v>
      </c>
      <c r="C11" s="132">
        <f t="shared" ref="C11:D11" si="0">ROUND(C10/9600,4)</f>
        <v>0.14460000000000001</v>
      </c>
      <c r="D11" s="132">
        <f t="shared" si="0"/>
        <v>9.64E-2</v>
      </c>
      <c r="E11" s="131">
        <v>0.2359</v>
      </c>
      <c r="F11" s="22" t="s">
        <v>31</v>
      </c>
      <c r="G11" s="22" t="s">
        <v>31</v>
      </c>
      <c r="H11" s="22" t="s">
        <v>31</v>
      </c>
      <c r="I11" s="231" t="s">
        <v>275</v>
      </c>
      <c r="J11" s="49">
        <v>0.28570000000000001</v>
      </c>
      <c r="K11" s="50">
        <v>2.0199999999999999E-2</v>
      </c>
      <c r="L11" s="50">
        <v>3.2199999999999999E-2</v>
      </c>
      <c r="Q11" s="22" t="s">
        <v>31</v>
      </c>
      <c r="R11" s="22" t="s">
        <v>31</v>
      </c>
      <c r="S11" s="22" t="s">
        <v>31</v>
      </c>
      <c r="T11" s="113"/>
      <c r="U11" s="113"/>
      <c r="V11" s="113"/>
      <c r="W11" s="113"/>
      <c r="X11" s="113"/>
      <c r="Y11" s="113"/>
      <c r="Z11" s="113"/>
      <c r="AA11" s="113"/>
      <c r="AB11" s="113"/>
      <c r="AC11" s="113"/>
    </row>
    <row r="12" spans="1:30">
      <c r="A12" s="22" t="s">
        <v>31</v>
      </c>
      <c r="B12" s="22" t="s">
        <v>31</v>
      </c>
      <c r="C12" s="22" t="s">
        <v>31</v>
      </c>
      <c r="D12" s="22" t="s">
        <v>31</v>
      </c>
      <c r="E12" s="22" t="s">
        <v>31</v>
      </c>
      <c r="F12" s="22" t="s">
        <v>31</v>
      </c>
      <c r="G12" s="22" t="s">
        <v>31</v>
      </c>
      <c r="H12" s="22" t="s">
        <v>31</v>
      </c>
      <c r="I12" s="22" t="s">
        <v>31</v>
      </c>
      <c r="J12" s="22" t="s">
        <v>31</v>
      </c>
      <c r="K12" s="22" t="s">
        <v>31</v>
      </c>
      <c r="L12" s="22" t="s">
        <v>31</v>
      </c>
      <c r="M12" s="22" t="s">
        <v>31</v>
      </c>
      <c r="N12" s="22" t="s">
        <v>31</v>
      </c>
      <c r="O12" s="22" t="s">
        <v>31</v>
      </c>
      <c r="P12" s="22" t="s">
        <v>31</v>
      </c>
      <c r="Q12" s="22" t="s">
        <v>31</v>
      </c>
      <c r="R12" s="22" t="s">
        <v>31</v>
      </c>
      <c r="S12" s="22" t="s">
        <v>31</v>
      </c>
      <c r="T12" s="113"/>
      <c r="U12" s="113"/>
      <c r="V12" s="113"/>
      <c r="W12" s="113"/>
      <c r="X12" s="113"/>
      <c r="Y12" s="113"/>
      <c r="Z12" s="113"/>
      <c r="AA12" s="113"/>
      <c r="AB12" s="113"/>
      <c r="AC12" s="113"/>
    </row>
    <row r="13" spans="1:30" s="54" customFormat="1">
      <c r="A13" s="1550" t="s">
        <v>183</v>
      </c>
      <c r="B13" s="1550" t="s">
        <v>182</v>
      </c>
      <c r="C13" s="1548" t="s">
        <v>276</v>
      </c>
      <c r="D13" s="1548"/>
      <c r="E13" s="1548"/>
      <c r="F13" s="1548"/>
      <c r="G13" s="1548"/>
      <c r="H13" s="1548"/>
      <c r="I13" s="1548"/>
      <c r="J13" s="1548"/>
      <c r="K13" s="1548"/>
      <c r="L13" s="1549"/>
      <c r="M13" s="1548" t="s">
        <v>31</v>
      </c>
      <c r="N13" s="1548"/>
      <c r="O13" s="1548"/>
      <c r="P13" s="1549"/>
      <c r="Q13" s="1550" t="s">
        <v>277</v>
      </c>
      <c r="R13" s="1550" t="s">
        <v>343</v>
      </c>
      <c r="S13" s="1550" t="s">
        <v>184</v>
      </c>
      <c r="T13" s="133"/>
      <c r="U13" s="133"/>
      <c r="V13" s="133"/>
      <c r="W13" s="133"/>
      <c r="X13" s="133"/>
      <c r="Y13" s="133"/>
      <c r="Z13" s="133"/>
      <c r="AA13" s="133"/>
      <c r="AB13" s="133"/>
      <c r="AC13" s="133"/>
    </row>
    <row r="14" spans="1:30" s="54" customFormat="1" ht="69.75" customHeight="1">
      <c r="A14" s="1551"/>
      <c r="B14" s="1551"/>
      <c r="C14" s="1548" t="s">
        <v>279</v>
      </c>
      <c r="D14" s="1548"/>
      <c r="E14" s="1549"/>
      <c r="F14" s="1548" t="s">
        <v>280</v>
      </c>
      <c r="G14" s="1548"/>
      <c r="H14" s="1549"/>
      <c r="I14" s="134" t="s">
        <v>281</v>
      </c>
      <c r="J14" s="1548" t="s">
        <v>282</v>
      </c>
      <c r="K14" s="1548"/>
      <c r="L14" s="1549"/>
      <c r="M14" s="1551" t="s">
        <v>283</v>
      </c>
      <c r="N14" s="1551" t="s">
        <v>284</v>
      </c>
      <c r="O14" s="1551" t="s">
        <v>285</v>
      </c>
      <c r="P14" s="1551" t="s">
        <v>286</v>
      </c>
      <c r="Q14" s="1551"/>
      <c r="R14" s="1551"/>
      <c r="S14" s="1551"/>
      <c r="T14" s="133"/>
      <c r="U14" s="133"/>
      <c r="V14" s="133"/>
      <c r="W14" s="133"/>
      <c r="X14" s="133"/>
      <c r="Y14" s="133"/>
      <c r="Z14" s="133"/>
      <c r="AA14" s="133"/>
      <c r="AB14" s="133"/>
      <c r="AC14" s="133"/>
    </row>
    <row r="15" spans="1:30" s="54" customFormat="1" ht="45">
      <c r="A15" s="1552"/>
      <c r="B15" s="1552"/>
      <c r="C15" s="134" t="s">
        <v>287</v>
      </c>
      <c r="D15" s="134" t="s">
        <v>288</v>
      </c>
      <c r="E15" s="134" t="s">
        <v>289</v>
      </c>
      <c r="F15" s="134" t="s">
        <v>287</v>
      </c>
      <c r="G15" s="134" t="s">
        <v>288</v>
      </c>
      <c r="H15" s="134" t="s">
        <v>290</v>
      </c>
      <c r="I15" s="134" t="s">
        <v>291</v>
      </c>
      <c r="J15" s="134" t="s">
        <v>292</v>
      </c>
      <c r="K15" s="134" t="s">
        <v>293</v>
      </c>
      <c r="L15" s="134" t="s">
        <v>294</v>
      </c>
      <c r="M15" s="1552"/>
      <c r="N15" s="1552"/>
      <c r="O15" s="1552"/>
      <c r="P15" s="1552"/>
      <c r="Q15" s="1552"/>
      <c r="R15" s="1552"/>
      <c r="S15" s="1552"/>
    </row>
    <row r="16" spans="1:30" s="54" customFormat="1" ht="45">
      <c r="A16" s="135" t="s">
        <v>344</v>
      </c>
      <c r="B16" s="136" t="s">
        <v>345</v>
      </c>
      <c r="C16" s="34">
        <v>20</v>
      </c>
      <c r="D16" s="34">
        <v>40</v>
      </c>
      <c r="E16" s="34">
        <v>0</v>
      </c>
      <c r="F16" s="35">
        <f>ROUND((C16*B11),2)</f>
        <v>4.8</v>
      </c>
      <c r="G16" s="35">
        <f>ROUND((D16*C11),2)</f>
        <v>5.78</v>
      </c>
      <c r="H16" s="35">
        <f>ROUND((E16*D11),2)</f>
        <v>0</v>
      </c>
      <c r="I16" s="35">
        <f>ROUND(((F16+G16+H16)*E11),2)</f>
        <v>2.5</v>
      </c>
      <c r="J16" s="39">
        <f>K16+L16</f>
        <v>3.7600000000000002</v>
      </c>
      <c r="K16" s="39">
        <v>0.6</v>
      </c>
      <c r="L16" s="39">
        <v>3.16</v>
      </c>
      <c r="M16" s="35">
        <v>8.39</v>
      </c>
      <c r="N16" s="35">
        <f>ROUND(((F16+G16+H16)*J11),2)</f>
        <v>3.02</v>
      </c>
      <c r="O16" s="35">
        <f>ROUND(((F16+G16+H16)*K11),2)</f>
        <v>0.21</v>
      </c>
      <c r="P16" s="35">
        <f>ROUND(((F16+G16+H16)*L11),2)</f>
        <v>0.34</v>
      </c>
      <c r="Q16" s="137">
        <f>ROUND((F16+G16+H16+I16+J16+M16+N16+O16+P16),2)</f>
        <v>28.8</v>
      </c>
      <c r="R16" s="137">
        <v>4</v>
      </c>
      <c r="S16" s="137">
        <f>Q16-R16</f>
        <v>24.8</v>
      </c>
    </row>
    <row r="17" spans="1:9">
      <c r="A17" s="144" t="s">
        <v>346</v>
      </c>
    </row>
    <row r="20" spans="1:9" ht="15" customHeight="1">
      <c r="A20" s="1555" t="s">
        <v>183</v>
      </c>
      <c r="B20" s="1555" t="s">
        <v>182</v>
      </c>
      <c r="C20" s="1555" t="s">
        <v>195</v>
      </c>
      <c r="D20" s="1555" t="s">
        <v>197</v>
      </c>
      <c r="E20" s="1558" t="s">
        <v>347</v>
      </c>
      <c r="F20" s="1559"/>
      <c r="G20" s="1560"/>
      <c r="H20" s="1555" t="s">
        <v>1036</v>
      </c>
    </row>
    <row r="21" spans="1:9" ht="56.25" customHeight="1">
      <c r="A21" s="1557"/>
      <c r="B21" s="1557"/>
      <c r="C21" s="1556"/>
      <c r="D21" s="1557"/>
      <c r="E21" s="4" t="s">
        <v>308</v>
      </c>
      <c r="F21" s="5" t="s">
        <v>309</v>
      </c>
      <c r="G21" s="5" t="s">
        <v>310</v>
      </c>
      <c r="H21" s="1556"/>
    </row>
    <row r="22" spans="1:9" ht="45">
      <c r="A22" s="138" t="s">
        <v>344</v>
      </c>
      <c r="B22" s="139" t="s">
        <v>345</v>
      </c>
      <c r="C22" s="71">
        <f>S16</f>
        <v>24.8</v>
      </c>
      <c r="D22" s="140">
        <v>1</v>
      </c>
      <c r="E22" s="141">
        <v>3350</v>
      </c>
      <c r="F22" s="141">
        <v>0</v>
      </c>
      <c r="G22" s="141">
        <v>0</v>
      </c>
      <c r="H22" s="142">
        <f>C22*E22</f>
        <v>83080</v>
      </c>
    </row>
    <row r="23" spans="1:9">
      <c r="A23" s="51" t="s">
        <v>348</v>
      </c>
      <c r="B23" s="121"/>
      <c r="C23" s="121"/>
      <c r="D23" s="121"/>
      <c r="E23" s="121"/>
      <c r="F23" s="143"/>
      <c r="G23" s="143"/>
      <c r="H23" s="143"/>
      <c r="I23" s="113"/>
    </row>
    <row r="24" spans="1:9">
      <c r="B24" s="121"/>
      <c r="C24" s="121"/>
      <c r="D24" s="121"/>
      <c r="E24" s="121"/>
      <c r="F24" s="121"/>
      <c r="G24" s="121"/>
      <c r="H24" s="121"/>
      <c r="I24" s="113"/>
    </row>
  </sheetData>
  <mergeCells count="23">
    <mergeCell ref="H20:H21"/>
    <mergeCell ref="A20:A21"/>
    <mergeCell ref="B20:B21"/>
    <mergeCell ref="C20:C21"/>
    <mergeCell ref="D20:D21"/>
    <mergeCell ref="E20:G20"/>
    <mergeCell ref="J9:J10"/>
    <mergeCell ref="K9:K10"/>
    <mergeCell ref="L9:L10"/>
    <mergeCell ref="A13:A15"/>
    <mergeCell ref="B13:B15"/>
    <mergeCell ref="C13:L13"/>
    <mergeCell ref="M13:P13"/>
    <mergeCell ref="Q13:Q15"/>
    <mergeCell ref="R13:R15"/>
    <mergeCell ref="S13:S15"/>
    <mergeCell ref="C14:E14"/>
    <mergeCell ref="F14:H14"/>
    <mergeCell ref="J14:L14"/>
    <mergeCell ref="M14:M15"/>
    <mergeCell ref="N14:N15"/>
    <mergeCell ref="O14:O15"/>
    <mergeCell ref="P14:P15"/>
  </mergeCells>
  <pageMargins left="0.7" right="0.7" top="0.75" bottom="0.75" header="0.3" footer="0.3"/>
  <pageSetup paperSize="9" scale="29" orientation="portrait"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H29"/>
  <sheetViews>
    <sheetView view="pageBreakPreview" zoomScaleNormal="80" zoomScaleSheetLayoutView="100" workbookViewId="0">
      <selection activeCell="A4" sqref="A4"/>
    </sheetView>
  </sheetViews>
  <sheetFormatPr defaultColWidth="9.125" defaultRowHeight="15"/>
  <cols>
    <col min="1" max="1" width="13.5" style="380" customWidth="1"/>
    <col min="2" max="2" width="44" style="380" customWidth="1"/>
    <col min="3" max="3" width="36.75" style="380" customWidth="1"/>
    <col min="4" max="4" width="22.5" style="380" customWidth="1"/>
    <col min="5" max="5" width="26.5" style="380" customWidth="1"/>
    <col min="6" max="6" width="37.125" style="380" customWidth="1"/>
    <col min="7" max="7" width="16.5" style="380" customWidth="1"/>
    <col min="8" max="8" width="14.75" style="380" customWidth="1"/>
    <col min="9" max="9" width="21.875" style="380" customWidth="1"/>
    <col min="10" max="10" width="14.25" style="380" customWidth="1"/>
    <col min="11" max="11" width="12.75" style="380" customWidth="1"/>
    <col min="12" max="12" width="13.5" style="380" customWidth="1"/>
    <col min="13" max="13" width="11" style="380" customWidth="1"/>
    <col min="14" max="14" width="15.5" style="380" customWidth="1"/>
    <col min="15" max="15" width="18.125" style="380" customWidth="1"/>
    <col min="16" max="16" width="13.875" style="380" customWidth="1"/>
    <col min="17" max="17" width="44.75" style="380" customWidth="1"/>
    <col min="18" max="21" width="12.5" style="380" customWidth="1"/>
    <col min="22" max="22" width="13.125" style="380" customWidth="1"/>
    <col min="23" max="16384" width="9.125" style="380"/>
  </cols>
  <sheetData>
    <row r="1" spans="1:34">
      <c r="O1" s="166" t="s">
        <v>731</v>
      </c>
    </row>
    <row r="3" spans="1:34" ht="15.75">
      <c r="D3" s="935" t="s">
        <v>691</v>
      </c>
    </row>
    <row r="5" spans="1:34" ht="60">
      <c r="B5" s="1078"/>
      <c r="C5" s="101" t="s">
        <v>181</v>
      </c>
      <c r="D5" s="101" t="s">
        <v>1020</v>
      </c>
      <c r="E5" s="101" t="s">
        <v>1033</v>
      </c>
      <c r="F5" s="396"/>
      <c r="G5" s="382"/>
      <c r="H5" s="382"/>
      <c r="I5" s="382"/>
      <c r="J5" s="382"/>
      <c r="K5" s="382"/>
    </row>
    <row r="6" spans="1:34" ht="28.5">
      <c r="B6" s="102" t="s">
        <v>70</v>
      </c>
      <c r="C6" s="729">
        <f>ROUND(I23*C23,0)</f>
        <v>534</v>
      </c>
      <c r="D6" s="730">
        <f>ROUND(P25,0)</f>
        <v>4560</v>
      </c>
      <c r="E6" s="730">
        <f>ROUND(D6,0)</f>
        <v>4560</v>
      </c>
      <c r="F6" s="397"/>
    </row>
    <row r="7" spans="1:34" ht="28.5">
      <c r="B7" s="103" t="s">
        <v>66</v>
      </c>
      <c r="C7" s="729">
        <f>ROUND(C23*K23,0)</f>
        <v>1992</v>
      </c>
      <c r="D7" s="730">
        <f>ROUND(N25,0)</f>
        <v>10588</v>
      </c>
      <c r="E7" s="730">
        <f>ROUND(D7,0)</f>
        <v>10588</v>
      </c>
      <c r="F7" s="397"/>
    </row>
    <row r="8" spans="1:34" ht="15.75" customHeight="1">
      <c r="A8" s="87"/>
      <c r="B8" s="87"/>
      <c r="C8" s="87"/>
      <c r="D8" s="87"/>
      <c r="E8" s="87"/>
      <c r="F8" s="398"/>
      <c r="G8" s="87"/>
      <c r="H8" s="87"/>
      <c r="I8" s="87"/>
      <c r="J8" s="87"/>
      <c r="K8" s="87"/>
      <c r="L8" s="87"/>
      <c r="M8" s="87"/>
      <c r="N8" s="87"/>
      <c r="O8" s="87"/>
      <c r="P8" s="87"/>
      <c r="Q8" s="87"/>
      <c r="R8" s="87"/>
      <c r="S8" s="87"/>
      <c r="T8" s="87"/>
      <c r="U8" s="87"/>
      <c r="V8" s="87"/>
      <c r="W8" s="87"/>
      <c r="X8" s="87"/>
      <c r="Y8" s="87"/>
      <c r="Z8" s="87"/>
      <c r="AA8" s="87"/>
      <c r="AB8" s="87"/>
      <c r="AC8" s="87"/>
      <c r="AD8" s="87"/>
      <c r="AE8" s="87"/>
      <c r="AF8" s="87"/>
      <c r="AG8" s="87"/>
      <c r="AH8" s="87"/>
    </row>
    <row r="9" spans="1:34" ht="15.75" customHeight="1">
      <c r="A9" s="87"/>
      <c r="B9" s="87"/>
      <c r="C9" s="87"/>
      <c r="D9" s="87"/>
      <c r="E9" s="87"/>
      <c r="F9" s="87"/>
      <c r="G9" s="87"/>
      <c r="H9" s="87"/>
      <c r="I9" s="87"/>
      <c r="J9" s="87"/>
      <c r="K9" s="87"/>
      <c r="L9" s="87"/>
      <c r="M9" s="87"/>
      <c r="N9" s="87"/>
      <c r="O9" s="87"/>
      <c r="P9" s="87"/>
      <c r="Q9" s="88"/>
      <c r="R9" s="88"/>
      <c r="S9" s="88"/>
      <c r="T9" s="87"/>
      <c r="U9" s="87"/>
      <c r="V9" s="87"/>
      <c r="W9" s="87"/>
      <c r="X9" s="87"/>
      <c r="Y9" s="87"/>
      <c r="Z9" s="87"/>
      <c r="AA9" s="87"/>
      <c r="AB9" s="87"/>
      <c r="AC9" s="87"/>
      <c r="AD9" s="87"/>
      <c r="AE9" s="87"/>
      <c r="AF9" s="87"/>
      <c r="AG9" s="87"/>
      <c r="AH9" s="87"/>
    </row>
    <row r="10" spans="1:34" ht="31.5" customHeight="1">
      <c r="A10" s="87"/>
      <c r="B10" s="87"/>
      <c r="C10" s="87"/>
      <c r="D10" s="87"/>
      <c r="E10" s="87"/>
      <c r="F10" s="89" t="s">
        <v>251</v>
      </c>
      <c r="G10" s="89" t="s">
        <v>252</v>
      </c>
      <c r="H10" s="89" t="s">
        <v>253</v>
      </c>
      <c r="I10" s="89" t="s">
        <v>254</v>
      </c>
      <c r="J10" s="90"/>
      <c r="K10" s="87"/>
      <c r="L10" s="87"/>
      <c r="M10" s="87"/>
      <c r="N10" s="1561" t="s">
        <v>272</v>
      </c>
      <c r="O10" s="1561" t="s">
        <v>273</v>
      </c>
      <c r="P10" s="1561" t="s">
        <v>274</v>
      </c>
      <c r="Q10" s="87"/>
      <c r="R10" s="87"/>
      <c r="S10" s="87"/>
      <c r="T10" s="87"/>
      <c r="U10" s="87"/>
      <c r="V10" s="87"/>
      <c r="W10" s="87"/>
      <c r="X10" s="87"/>
      <c r="Y10" s="87"/>
      <c r="Z10" s="87"/>
      <c r="AA10" s="87"/>
      <c r="AB10" s="87"/>
      <c r="AC10" s="87"/>
      <c r="AD10" s="87"/>
      <c r="AE10" s="87"/>
      <c r="AF10" s="87"/>
      <c r="AG10" s="87"/>
      <c r="AH10" s="87"/>
    </row>
    <row r="11" spans="1:34" ht="25.5" customHeight="1">
      <c r="A11" s="87"/>
      <c r="B11" s="87"/>
      <c r="C11" s="87"/>
      <c r="D11" s="87"/>
      <c r="E11" s="88" t="s">
        <v>255</v>
      </c>
      <c r="F11" s="383">
        <v>2304</v>
      </c>
      <c r="G11" s="383">
        <v>1388</v>
      </c>
      <c r="H11" s="383">
        <v>925</v>
      </c>
      <c r="I11" s="89"/>
      <c r="J11" s="87"/>
      <c r="K11" s="87"/>
      <c r="L11" s="87"/>
      <c r="M11" s="87"/>
      <c r="N11" s="1562"/>
      <c r="O11" s="1562"/>
      <c r="P11" s="1562"/>
      <c r="Q11" s="87"/>
      <c r="R11" s="87"/>
      <c r="S11" s="87"/>
      <c r="T11" s="87"/>
      <c r="U11" s="87"/>
      <c r="V11" s="87"/>
      <c r="W11" s="87"/>
      <c r="X11" s="87"/>
      <c r="Y11" s="87"/>
      <c r="Z11" s="87"/>
      <c r="AA11" s="87"/>
      <c r="AB11" s="87"/>
      <c r="AC11" s="87"/>
      <c r="AD11" s="87"/>
      <c r="AE11" s="87"/>
      <c r="AF11" s="87"/>
      <c r="AG11" s="87"/>
      <c r="AH11" s="87"/>
    </row>
    <row r="12" spans="1:34" ht="15.75" customHeight="1">
      <c r="A12" s="87"/>
      <c r="B12" s="87"/>
      <c r="C12" s="87"/>
      <c r="D12" s="87"/>
      <c r="E12" s="88" t="s">
        <v>256</v>
      </c>
      <c r="F12" s="384">
        <f>ROUND(F11/9600,4)</f>
        <v>0.24</v>
      </c>
      <c r="G12" s="384">
        <f t="shared" ref="G12:H12" si="0">ROUND(G11/9600,4)</f>
        <v>0.14460000000000001</v>
      </c>
      <c r="H12" s="384">
        <f t="shared" si="0"/>
        <v>9.64E-2</v>
      </c>
      <c r="I12" s="89">
        <v>0.2359</v>
      </c>
      <c r="J12" s="87"/>
      <c r="K12" s="87"/>
      <c r="L12" s="87"/>
      <c r="M12" s="88" t="s">
        <v>275</v>
      </c>
      <c r="N12" s="89">
        <v>0.28570000000000001</v>
      </c>
      <c r="O12" s="89">
        <v>2.0199999999999999E-2</v>
      </c>
      <c r="P12" s="89">
        <v>3.2199999999999999E-2</v>
      </c>
      <c r="Q12" s="87"/>
      <c r="R12" s="87"/>
      <c r="S12" s="87"/>
      <c r="T12" s="87"/>
      <c r="U12" s="87"/>
      <c r="V12" s="87"/>
      <c r="W12" s="87"/>
      <c r="X12" s="87"/>
      <c r="Y12" s="87"/>
      <c r="Z12" s="87"/>
      <c r="AA12" s="87"/>
      <c r="AB12" s="87"/>
      <c r="AC12" s="87"/>
      <c r="AD12" s="87"/>
      <c r="AE12" s="87"/>
      <c r="AF12" s="87"/>
      <c r="AG12" s="87"/>
      <c r="AH12" s="87"/>
    </row>
    <row r="13" spans="1:34" ht="15.75" customHeight="1">
      <c r="A13" s="87" t="s">
        <v>314</v>
      </c>
      <c r="B13" s="87"/>
      <c r="C13" s="87"/>
      <c r="D13" s="87"/>
      <c r="E13" s="87"/>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row>
    <row r="14" spans="1:34" ht="21.75" customHeight="1">
      <c r="A14" s="1563" t="s">
        <v>183</v>
      </c>
      <c r="B14" s="1563" t="s">
        <v>182</v>
      </c>
      <c r="C14" s="1563" t="s">
        <v>276</v>
      </c>
      <c r="D14" s="1563"/>
      <c r="E14" s="1563"/>
      <c r="F14" s="1563"/>
      <c r="G14" s="1563"/>
      <c r="H14" s="1563"/>
      <c r="I14" s="1563"/>
      <c r="J14" s="1563"/>
      <c r="K14" s="1563"/>
      <c r="L14" s="1563"/>
      <c r="M14" s="1563"/>
      <c r="N14" s="1563"/>
      <c r="O14" s="1563"/>
      <c r="P14" s="1563"/>
      <c r="Q14" s="1563" t="s">
        <v>277</v>
      </c>
      <c r="R14" s="1563" t="s">
        <v>278</v>
      </c>
      <c r="S14" s="1563" t="s">
        <v>184</v>
      </c>
      <c r="T14" s="105"/>
      <c r="U14" s="105"/>
      <c r="V14" s="105"/>
      <c r="W14" s="105"/>
      <c r="X14" s="105"/>
      <c r="Y14" s="105"/>
      <c r="Z14" s="105"/>
      <c r="AA14" s="105"/>
      <c r="AB14" s="105"/>
      <c r="AC14" s="105"/>
      <c r="AD14" s="105"/>
      <c r="AE14" s="87"/>
      <c r="AF14" s="87"/>
      <c r="AG14" s="87"/>
      <c r="AH14" s="87"/>
    </row>
    <row r="15" spans="1:34" ht="51" customHeight="1">
      <c r="A15" s="1563"/>
      <c r="B15" s="1563"/>
      <c r="C15" s="1563" t="s">
        <v>279</v>
      </c>
      <c r="D15" s="1563"/>
      <c r="E15" s="1563"/>
      <c r="F15" s="1564" t="s">
        <v>280</v>
      </c>
      <c r="G15" s="1565"/>
      <c r="H15" s="1566"/>
      <c r="I15" s="104" t="s">
        <v>315</v>
      </c>
      <c r="J15" s="1563" t="s">
        <v>282</v>
      </c>
      <c r="K15" s="1563"/>
      <c r="L15" s="1563"/>
      <c r="M15" s="1563" t="s">
        <v>283</v>
      </c>
      <c r="N15" s="1563" t="s">
        <v>284</v>
      </c>
      <c r="O15" s="1563" t="s">
        <v>285</v>
      </c>
      <c r="P15" s="1563" t="s">
        <v>286</v>
      </c>
      <c r="Q15" s="1563"/>
      <c r="R15" s="1563"/>
      <c r="S15" s="1563"/>
      <c r="T15" s="105"/>
      <c r="U15" s="105"/>
      <c r="V15" s="105"/>
      <c r="W15" s="105"/>
      <c r="X15" s="105"/>
      <c r="Y15" s="105"/>
      <c r="Z15" s="106"/>
      <c r="AA15" s="106"/>
      <c r="AB15" s="106"/>
      <c r="AC15" s="106"/>
      <c r="AD15" s="106"/>
      <c r="AE15" s="87"/>
      <c r="AF15" s="87"/>
      <c r="AG15" s="87"/>
      <c r="AH15" s="87"/>
    </row>
    <row r="16" spans="1:34" ht="45" customHeight="1">
      <c r="A16" s="1563"/>
      <c r="B16" s="1563"/>
      <c r="C16" s="104" t="s">
        <v>287</v>
      </c>
      <c r="D16" s="403" t="s">
        <v>288</v>
      </c>
      <c r="E16" s="403" t="s">
        <v>289</v>
      </c>
      <c r="F16" s="104" t="s">
        <v>287</v>
      </c>
      <c r="G16" s="104" t="s">
        <v>288</v>
      </c>
      <c r="H16" s="104" t="s">
        <v>290</v>
      </c>
      <c r="I16" s="104" t="s">
        <v>291</v>
      </c>
      <c r="J16" s="104" t="s">
        <v>292</v>
      </c>
      <c r="K16" s="107" t="s">
        <v>293</v>
      </c>
      <c r="L16" s="104" t="s">
        <v>294</v>
      </c>
      <c r="M16" s="1563"/>
      <c r="N16" s="1563"/>
      <c r="O16" s="1563"/>
      <c r="P16" s="1563"/>
      <c r="Q16" s="1563"/>
      <c r="R16" s="1563"/>
      <c r="S16" s="1563"/>
      <c r="T16" s="106" t="s">
        <v>316</v>
      </c>
      <c r="U16" s="106" t="s">
        <v>317</v>
      </c>
      <c r="V16" s="106" t="s">
        <v>318</v>
      </c>
      <c r="W16" s="106" t="s">
        <v>319</v>
      </c>
      <c r="X16" s="106" t="s">
        <v>320</v>
      </c>
      <c r="Y16" s="106" t="s">
        <v>321</v>
      </c>
      <c r="Z16" s="106" t="s">
        <v>322</v>
      </c>
      <c r="AA16" s="106" t="s">
        <v>323</v>
      </c>
      <c r="AB16" s="108" t="s">
        <v>324</v>
      </c>
      <c r="AC16" s="108" t="s">
        <v>325</v>
      </c>
      <c r="AD16" s="106" t="s">
        <v>326</v>
      </c>
      <c r="AE16" s="87"/>
      <c r="AF16" s="87"/>
      <c r="AG16" s="87"/>
      <c r="AH16" s="87"/>
    </row>
    <row r="17" spans="1:34" ht="33" customHeight="1">
      <c r="A17" s="385" t="s">
        <v>327</v>
      </c>
      <c r="B17" s="386" t="s">
        <v>328</v>
      </c>
      <c r="C17" s="401">
        <v>75</v>
      </c>
      <c r="D17" s="404">
        <v>75</v>
      </c>
      <c r="E17" s="404">
        <v>0</v>
      </c>
      <c r="F17" s="402">
        <f t="shared" ref="F17" si="1">ROUND((C17*$F$12),2)</f>
        <v>18</v>
      </c>
      <c r="G17" s="92">
        <f t="shared" ref="G17" si="2">ROUND((D17*$G$12),2)</f>
        <v>10.85</v>
      </c>
      <c r="H17" s="92">
        <f t="shared" ref="H17" si="3">ROUND((E17*$H$12),2)</f>
        <v>0</v>
      </c>
      <c r="I17" s="93">
        <f t="shared" ref="I17" si="4">ROUND(((F17+G17+H17)*$I$12),2)</f>
        <v>6.81</v>
      </c>
      <c r="J17" s="94">
        <f>K17+L17</f>
        <v>3.98</v>
      </c>
      <c r="K17" s="94">
        <v>0.27</v>
      </c>
      <c r="L17" s="94">
        <v>3.71</v>
      </c>
      <c r="M17" s="93">
        <v>5.67</v>
      </c>
      <c r="N17" s="93">
        <f>ROUND((F17+G17+H17)*$N$12,2)</f>
        <v>8.24</v>
      </c>
      <c r="O17" s="93">
        <f t="shared" ref="O17" si="5">ROUND((F17+G17+H17)*$O$12,2)</f>
        <v>0.57999999999999996</v>
      </c>
      <c r="P17" s="93">
        <f t="shared" ref="P17" si="6">ROUND((F17+G17+H17)*$P$12,2)</f>
        <v>0.93</v>
      </c>
      <c r="Q17" s="95">
        <f t="shared" ref="Q17" si="7">ROUND((F17+G17+H17+I17+J17+M17+N17+O17+P17),2)</f>
        <v>55.06</v>
      </c>
      <c r="R17" s="95">
        <v>0</v>
      </c>
      <c r="S17" s="399">
        <f t="shared" ref="S17" si="8">Q17-R17</f>
        <v>55.06</v>
      </c>
      <c r="T17" s="94">
        <f t="shared" ref="T17" si="9">F17+G17+H17</f>
        <v>28.85</v>
      </c>
      <c r="U17" s="94">
        <f t="shared" ref="U17:V17" si="10">I17</f>
        <v>6.81</v>
      </c>
      <c r="V17" s="96">
        <f t="shared" si="10"/>
        <v>3.98</v>
      </c>
      <c r="W17" s="91"/>
      <c r="X17" s="96">
        <f t="shared" ref="X17:Y17" si="11">N17</f>
        <v>8.24</v>
      </c>
      <c r="Y17" s="96">
        <f t="shared" si="11"/>
        <v>0.57999999999999996</v>
      </c>
      <c r="Z17" s="96">
        <f t="shared" ref="Z17" si="12">M17+P17</f>
        <v>6.6</v>
      </c>
      <c r="AA17" s="91"/>
      <c r="AB17" s="96">
        <f t="shared" ref="AB17" si="13">SUM(T17:AA17)</f>
        <v>55.06</v>
      </c>
      <c r="AC17" s="96">
        <f t="shared" ref="AC17" si="14">R17</f>
        <v>0</v>
      </c>
      <c r="AD17" s="96">
        <f t="shared" ref="AD17" si="15">AB17-AC17</f>
        <v>55.06</v>
      </c>
      <c r="AE17" s="97"/>
      <c r="AF17" s="97"/>
      <c r="AG17" s="97"/>
      <c r="AH17" s="97"/>
    </row>
    <row r="18" spans="1:34">
      <c r="B18" s="86"/>
      <c r="C18" s="387"/>
      <c r="D18" s="395"/>
      <c r="E18" s="400"/>
    </row>
    <row r="19" spans="1:34">
      <c r="B19" s="86"/>
      <c r="C19" s="387"/>
    </row>
    <row r="20" spans="1:34">
      <c r="A20" s="378" t="s">
        <v>329</v>
      </c>
      <c r="C20" s="387"/>
      <c r="D20" s="395"/>
      <c r="E20" s="400"/>
    </row>
    <row r="21" spans="1:34" ht="75.75" customHeight="1">
      <c r="A21" s="109" t="s">
        <v>183</v>
      </c>
      <c r="B21" s="110" t="s">
        <v>182</v>
      </c>
      <c r="C21" s="109" t="s">
        <v>330</v>
      </c>
      <c r="D21" s="109" t="s">
        <v>331</v>
      </c>
      <c r="E21" s="109" t="s">
        <v>332</v>
      </c>
      <c r="F21" s="111" t="s">
        <v>333</v>
      </c>
      <c r="G21" s="109" t="s">
        <v>197</v>
      </c>
      <c r="H21" s="109" t="s">
        <v>1037</v>
      </c>
      <c r="I21" s="1570" t="s">
        <v>334</v>
      </c>
      <c r="J21" s="1570"/>
      <c r="K21" s="1570"/>
      <c r="L21" s="1571" t="s">
        <v>335</v>
      </c>
      <c r="M21" s="1572"/>
      <c r="N21" s="1569" t="s">
        <v>1038</v>
      </c>
      <c r="O21" s="1569"/>
      <c r="P21" s="1569"/>
    </row>
    <row r="22" spans="1:34" ht="39.75" customHeight="1">
      <c r="A22" s="110"/>
      <c r="B22" s="110"/>
      <c r="C22" s="109"/>
      <c r="D22" s="109"/>
      <c r="E22" s="109"/>
      <c r="F22" s="109"/>
      <c r="G22" s="109"/>
      <c r="H22" s="109"/>
      <c r="I22" s="109" t="s">
        <v>308</v>
      </c>
      <c r="J22" s="109" t="s">
        <v>309</v>
      </c>
      <c r="K22" s="109" t="s">
        <v>310</v>
      </c>
      <c r="L22" s="1573"/>
      <c r="M22" s="1574"/>
      <c r="N22" s="379" t="s">
        <v>308</v>
      </c>
      <c r="O22" s="379" t="s">
        <v>309</v>
      </c>
      <c r="P22" s="123" t="s">
        <v>310</v>
      </c>
    </row>
    <row r="23" spans="1:34" ht="99.75" customHeight="1">
      <c r="A23" s="385" t="s">
        <v>327</v>
      </c>
      <c r="B23" s="386" t="s">
        <v>336</v>
      </c>
      <c r="C23" s="98">
        <v>35.58</v>
      </c>
      <c r="D23" s="99">
        <f>S17</f>
        <v>55.06</v>
      </c>
      <c r="E23" s="98">
        <f>D23-C23</f>
        <v>19.480000000000004</v>
      </c>
      <c r="F23" s="100">
        <f>I23+J23+K23</f>
        <v>71</v>
      </c>
      <c r="G23" s="100">
        <v>1</v>
      </c>
      <c r="H23" s="938">
        <f>E23*F23*G23</f>
        <v>1383.0800000000004</v>
      </c>
      <c r="I23" s="100">
        <v>15</v>
      </c>
      <c r="J23" s="100">
        <v>0</v>
      </c>
      <c r="K23" s="100">
        <v>56</v>
      </c>
      <c r="L23" s="1567" t="s">
        <v>337</v>
      </c>
      <c r="M23" s="1568"/>
      <c r="N23" s="392">
        <f>I23*E23</f>
        <v>292.20000000000005</v>
      </c>
      <c r="O23" s="392">
        <v>0</v>
      </c>
      <c r="P23" s="392">
        <f>E23*K23</f>
        <v>1090.8800000000001</v>
      </c>
    </row>
    <row r="24" spans="1:34" ht="99.75" customHeight="1">
      <c r="A24" s="385" t="s">
        <v>327</v>
      </c>
      <c r="B24" s="386" t="s">
        <v>338</v>
      </c>
      <c r="C24" s="98">
        <v>0</v>
      </c>
      <c r="D24" s="99">
        <f>S17</f>
        <v>55.06</v>
      </c>
      <c r="E24" s="98">
        <f>D24-C24</f>
        <v>55.06</v>
      </c>
      <c r="F24" s="100">
        <f>I24+J24+K24</f>
        <v>250</v>
      </c>
      <c r="G24" s="100">
        <v>1</v>
      </c>
      <c r="H24" s="938">
        <f>E24*F24*G24</f>
        <v>13765</v>
      </c>
      <c r="I24" s="100">
        <f>ROUNDDOWN(250*0.75,0)</f>
        <v>187</v>
      </c>
      <c r="J24" s="100">
        <v>0</v>
      </c>
      <c r="K24" s="100">
        <f>ROUND(250*0.25,0)</f>
        <v>63</v>
      </c>
      <c r="L24" s="1567" t="s">
        <v>339</v>
      </c>
      <c r="M24" s="1568"/>
      <c r="N24" s="392">
        <f>I24*E24</f>
        <v>10296.220000000001</v>
      </c>
      <c r="O24" s="392">
        <v>0</v>
      </c>
      <c r="P24" s="392">
        <f>K24*E24</f>
        <v>3468.78</v>
      </c>
    </row>
    <row r="25" spans="1:34">
      <c r="B25" s="388"/>
      <c r="C25" s="389"/>
      <c r="D25" s="390"/>
      <c r="E25" s="390"/>
      <c r="F25" s="391">
        <f>SUM(F23:F24)</f>
        <v>321</v>
      </c>
      <c r="G25" s="936" t="s">
        <v>340</v>
      </c>
      <c r="H25" s="937">
        <f>SUM(H23:H24)</f>
        <v>15148.08</v>
      </c>
      <c r="J25" s="390"/>
      <c r="K25" s="391"/>
      <c r="L25" s="391"/>
      <c r="M25" s="391"/>
      <c r="N25" s="393">
        <f>N23+N24</f>
        <v>10588.420000000002</v>
      </c>
      <c r="O25" s="393"/>
      <c r="P25" s="394">
        <f>P23+P24</f>
        <v>4559.66</v>
      </c>
    </row>
    <row r="26" spans="1:34">
      <c r="A26" s="380" t="s">
        <v>341</v>
      </c>
    </row>
    <row r="27" spans="1:34">
      <c r="A27" s="380" t="s">
        <v>342</v>
      </c>
      <c r="D27" s="381"/>
    </row>
    <row r="28" spans="1:34">
      <c r="D28" s="381"/>
    </row>
    <row r="29" spans="1:34">
      <c r="D29" s="381"/>
    </row>
  </sheetData>
  <mergeCells count="22">
    <mergeCell ref="L24:M24"/>
    <mergeCell ref="L23:M23"/>
    <mergeCell ref="N21:P21"/>
    <mergeCell ref="I21:K21"/>
    <mergeCell ref="L21:M22"/>
    <mergeCell ref="Q14:Q16"/>
    <mergeCell ref="R14:R16"/>
    <mergeCell ref="S14:S16"/>
    <mergeCell ref="C15:E15"/>
    <mergeCell ref="F15:H15"/>
    <mergeCell ref="J15:L15"/>
    <mergeCell ref="M15:M16"/>
    <mergeCell ref="N15:N16"/>
    <mergeCell ref="O15:O16"/>
    <mergeCell ref="P15:P16"/>
    <mergeCell ref="N10:N11"/>
    <mergeCell ref="O10:O11"/>
    <mergeCell ref="P10:P11"/>
    <mergeCell ref="A14:A16"/>
    <mergeCell ref="B14:B16"/>
    <mergeCell ref="C14:L14"/>
    <mergeCell ref="M14:P14"/>
  </mergeCells>
  <pageMargins left="0.7" right="0.7" top="0.75" bottom="0.75" header="0.3" footer="0.3"/>
  <pageSetup paperSize="9" scale="17" orientation="portrait" r:id="rId1"/>
  <colBreaks count="1" manualBreakCount="1">
    <brk id="30"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K17"/>
  <sheetViews>
    <sheetView zoomScaleNormal="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1">
      <c r="B1" s="900"/>
      <c r="J1" s="166" t="s">
        <v>982</v>
      </c>
    </row>
    <row r="2" spans="1:11" ht="33.75" customHeight="1">
      <c r="A2" s="1475" t="s">
        <v>668</v>
      </c>
      <c r="B2" s="1475"/>
      <c r="C2" s="1475"/>
      <c r="D2" s="901"/>
    </row>
    <row r="3" spans="1:11">
      <c r="A3" s="1476" t="s">
        <v>1</v>
      </c>
      <c r="B3" s="1527" t="s">
        <v>1039</v>
      </c>
      <c r="C3" s="1527"/>
      <c r="D3" s="901"/>
    </row>
    <row r="4" spans="1:11">
      <c r="A4" s="1477"/>
      <c r="B4" s="902" t="s">
        <v>653</v>
      </c>
      <c r="C4" s="903" t="s">
        <v>654</v>
      </c>
      <c r="D4" s="904"/>
    </row>
    <row r="5" spans="1:11" ht="25.5">
      <c r="A5" s="905" t="s">
        <v>668</v>
      </c>
      <c r="B5" s="906">
        <v>0</v>
      </c>
      <c r="C5" s="906">
        <f>27900*1.21</f>
        <v>33759</v>
      </c>
      <c r="D5" s="904"/>
    </row>
    <row r="6" spans="1:11" ht="95.1" customHeight="1">
      <c r="A6" s="1519" t="s">
        <v>1094</v>
      </c>
      <c r="B6" s="1519"/>
      <c r="C6" s="1519"/>
      <c r="D6" s="904"/>
    </row>
    <row r="7" spans="1:11">
      <c r="A7" s="1521"/>
      <c r="B7" s="1521"/>
      <c r="C7" s="1521"/>
    </row>
    <row r="11" spans="1:11">
      <c r="A11" s="1520" t="s">
        <v>668</v>
      </c>
      <c r="B11" s="1520"/>
      <c r="C11" s="1520"/>
      <c r="D11" s="1520"/>
      <c r="E11" s="1520"/>
      <c r="F11" s="1520"/>
      <c r="G11" s="1520"/>
      <c r="H11" s="1520"/>
      <c r="I11" s="1520"/>
      <c r="J11" s="1520"/>
      <c r="K11" s="1520"/>
    </row>
    <row r="12" spans="1:11" ht="51">
      <c r="A12" s="907"/>
      <c r="B12" s="908" t="s">
        <v>1</v>
      </c>
      <c r="C12" s="908" t="s">
        <v>2</v>
      </c>
      <c r="D12" s="902" t="s">
        <v>3</v>
      </c>
      <c r="E12" s="902" t="s">
        <v>655</v>
      </c>
      <c r="F12" s="902" t="s">
        <v>656</v>
      </c>
      <c r="G12" s="902" t="s">
        <v>657</v>
      </c>
      <c r="H12" s="902" t="s">
        <v>658</v>
      </c>
      <c r="I12" s="902" t="s">
        <v>659</v>
      </c>
      <c r="J12" s="902" t="s">
        <v>660</v>
      </c>
      <c r="K12" s="902" t="s">
        <v>661</v>
      </c>
    </row>
    <row r="13" spans="1:11" ht="12.75" customHeight="1">
      <c r="A13" s="1544" t="s">
        <v>663</v>
      </c>
      <c r="B13" s="1544" t="s">
        <v>667</v>
      </c>
      <c r="C13" s="1546"/>
      <c r="D13" s="1546"/>
      <c r="E13" s="908" t="s">
        <v>664</v>
      </c>
      <c r="F13" s="906">
        <v>1</v>
      </c>
      <c r="G13" s="906">
        <v>13950</v>
      </c>
      <c r="H13" s="906">
        <f>F13*G13</f>
        <v>13950</v>
      </c>
      <c r="I13" s="906">
        <v>21</v>
      </c>
      <c r="J13" s="906">
        <f>G13*1.21</f>
        <v>16879.5</v>
      </c>
      <c r="K13" s="906">
        <f>F13*J13</f>
        <v>16879.5</v>
      </c>
    </row>
    <row r="14" spans="1:11" ht="12.75" customHeight="1">
      <c r="A14" s="1545"/>
      <c r="B14" s="1545"/>
      <c r="C14" s="1547"/>
      <c r="D14" s="1547"/>
      <c r="E14" s="908" t="s">
        <v>665</v>
      </c>
      <c r="F14" s="906">
        <v>1</v>
      </c>
      <c r="G14" s="906">
        <v>13950</v>
      </c>
      <c r="H14" s="906">
        <f t="shared" ref="H14" si="0">F14*G14</f>
        <v>13950</v>
      </c>
      <c r="I14" s="906">
        <v>21</v>
      </c>
      <c r="J14" s="906">
        <f t="shared" ref="J14" si="1">G14*1.21</f>
        <v>16879.5</v>
      </c>
      <c r="K14" s="906">
        <f t="shared" ref="K14" si="2">F14*J14</f>
        <v>16879.5</v>
      </c>
    </row>
    <row r="15" spans="1:11">
      <c r="A15" s="487"/>
      <c r="B15" s="487"/>
      <c r="C15" s="487"/>
      <c r="D15" s="487"/>
      <c r="E15" s="487"/>
      <c r="F15" s="487"/>
      <c r="G15" s="487"/>
      <c r="H15" s="912">
        <f>SUM(H13:H14)</f>
        <v>27900</v>
      </c>
      <c r="I15" s="487"/>
      <c r="J15" s="912"/>
      <c r="K15" s="906">
        <f>SUM(K13:K14)</f>
        <v>33759</v>
      </c>
    </row>
    <row r="16" spans="1:11">
      <c r="A16" s="913"/>
      <c r="B16" s="913"/>
      <c r="C16" s="913"/>
      <c r="D16" s="913"/>
      <c r="E16" s="913"/>
      <c r="F16" s="913"/>
      <c r="G16" s="913"/>
      <c r="H16" s="913"/>
      <c r="I16" s="913"/>
      <c r="J16" s="913"/>
      <c r="K16" s="913"/>
    </row>
    <row r="17" spans="1:11" ht="63.6" customHeight="1">
      <c r="A17" s="1519" t="s">
        <v>1094</v>
      </c>
      <c r="B17" s="1519"/>
      <c r="C17" s="1519"/>
      <c r="D17" s="1519"/>
      <c r="E17" s="1519"/>
      <c r="F17" s="1519"/>
      <c r="G17" s="1519"/>
      <c r="H17" s="1519"/>
      <c r="I17" s="1519"/>
      <c r="J17" s="1519"/>
      <c r="K17" s="1519"/>
    </row>
  </sheetData>
  <mergeCells count="11">
    <mergeCell ref="A17:K17"/>
    <mergeCell ref="A2:C2"/>
    <mergeCell ref="A3:A4"/>
    <mergeCell ref="B3:C3"/>
    <mergeCell ref="A6:C6"/>
    <mergeCell ref="A7:C7"/>
    <mergeCell ref="A11:K11"/>
    <mergeCell ref="A13:A14"/>
    <mergeCell ref="B13:B14"/>
    <mergeCell ref="C13:C14"/>
    <mergeCell ref="D13:D14"/>
  </mergeCells>
  <pageMargins left="0.7" right="0.7" top="0.75" bottom="0.75" header="0.3" footer="0.3"/>
  <pageSetup paperSize="9" scale="46"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F69"/>
  <sheetViews>
    <sheetView zoomScaleNormal="100" workbookViewId="0">
      <selection activeCell="A4" sqref="A4"/>
    </sheetView>
  </sheetViews>
  <sheetFormatPr defaultRowHeight="14.25"/>
  <cols>
    <col min="1" max="1" width="19.5" customWidth="1"/>
    <col min="2" max="2" width="19.75" customWidth="1"/>
    <col min="3" max="3" width="38.5" customWidth="1"/>
    <col min="4" max="4" width="22" customWidth="1"/>
    <col min="5" max="5" width="14.5" customWidth="1"/>
    <col min="6" max="7" width="12.75" customWidth="1"/>
    <col min="8" max="9" width="15.875" customWidth="1"/>
    <col min="10" max="10" width="16" customWidth="1"/>
    <col min="11" max="12" width="12.75" customWidth="1"/>
    <col min="13" max="13" width="15.5" customWidth="1"/>
    <col min="14" max="14" width="16.125" customWidth="1"/>
    <col min="15" max="15" width="12.75" customWidth="1"/>
    <col min="16" max="16" width="16" customWidth="1"/>
    <col min="17" max="17" width="13.5" customWidth="1"/>
    <col min="18" max="20" width="12.75" customWidth="1"/>
    <col min="21" max="22" width="9.125" bestFit="1" customWidth="1"/>
    <col min="23" max="23" width="9.125" customWidth="1"/>
    <col min="24" max="24" width="9.125" bestFit="1" customWidth="1"/>
    <col min="25" max="25" width="18.5" customWidth="1"/>
    <col min="26" max="26" width="15" customWidth="1"/>
    <col min="27" max="27" width="13.75" customWidth="1"/>
    <col min="28" max="28" width="14.5" customWidth="1"/>
    <col min="29" max="29" width="14.75" customWidth="1"/>
    <col min="30" max="32" width="9.125" bestFit="1" customWidth="1"/>
  </cols>
  <sheetData>
    <row r="1" spans="1:32" ht="15.75">
      <c r="X1" s="446" t="s">
        <v>694</v>
      </c>
    </row>
    <row r="2" spans="1:32" ht="15.75">
      <c r="B2" s="51"/>
      <c r="C2" s="51"/>
      <c r="D2" s="927" t="s">
        <v>697</v>
      </c>
      <c r="E2" s="51"/>
      <c r="F2" s="51"/>
      <c r="G2" s="51"/>
      <c r="H2" s="51"/>
      <c r="I2" s="51"/>
      <c r="J2" s="51"/>
      <c r="K2" s="51"/>
      <c r="L2" s="51"/>
      <c r="M2" s="51"/>
      <c r="N2" s="51"/>
      <c r="O2" s="51"/>
      <c r="P2" s="51"/>
      <c r="Q2" s="51"/>
      <c r="R2" s="51"/>
      <c r="S2" s="51"/>
      <c r="T2" s="51"/>
      <c r="U2" s="51"/>
      <c r="V2" s="51"/>
      <c r="W2" s="51"/>
      <c r="X2" s="51"/>
      <c r="Y2" s="51"/>
      <c r="Z2" s="51"/>
      <c r="AA2" s="51"/>
      <c r="AB2" s="51"/>
      <c r="AC2" s="51"/>
      <c r="AD2" s="51"/>
      <c r="AE2" s="51"/>
      <c r="AF2" s="51"/>
    </row>
    <row r="3" spans="1:32" ht="15">
      <c r="A3" s="52"/>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row>
    <row r="4" spans="1:32" ht="75" customHeight="1">
      <c r="A4" s="18" t="s">
        <v>159</v>
      </c>
      <c r="B4" s="4" t="s">
        <v>181</v>
      </c>
      <c r="C4" s="4" t="s">
        <v>1013</v>
      </c>
      <c r="D4" s="4" t="s">
        <v>1040</v>
      </c>
      <c r="E4" s="51"/>
      <c r="F4" s="51"/>
      <c r="G4" s="51"/>
      <c r="H4" s="51"/>
      <c r="I4" s="51"/>
      <c r="J4" s="51"/>
      <c r="K4" s="51"/>
      <c r="L4" s="51"/>
      <c r="M4" s="51"/>
      <c r="N4" s="51"/>
      <c r="O4" s="51"/>
      <c r="P4" s="51"/>
      <c r="Q4" s="51"/>
      <c r="R4" s="51"/>
      <c r="S4" s="465"/>
      <c r="T4" s="465"/>
      <c r="U4" s="465"/>
      <c r="V4" s="465"/>
      <c r="W4" s="465"/>
      <c r="X4" s="465"/>
      <c r="Y4" s="465"/>
      <c r="Z4" s="465"/>
      <c r="AA4" s="465"/>
      <c r="AB4" s="51"/>
      <c r="AC4" s="51"/>
      <c r="AD4" s="51"/>
      <c r="AE4" s="51"/>
      <c r="AF4" s="51"/>
    </row>
    <row r="5" spans="1:32" ht="60">
      <c r="A5" s="112" t="s">
        <v>66</v>
      </c>
      <c r="B5" s="694">
        <v>21010828</v>
      </c>
      <c r="C5" s="590">
        <f>Y30+Y58+Y68</f>
        <v>2254308.3314999999</v>
      </c>
      <c r="D5" s="512">
        <f>C5</f>
        <v>2254308.3314999999</v>
      </c>
      <c r="E5" s="319"/>
      <c r="F5" s="51"/>
      <c r="G5" s="51"/>
      <c r="H5" s="51"/>
      <c r="I5" s="51"/>
      <c r="J5" s="51"/>
      <c r="K5" s="51"/>
      <c r="L5" s="51"/>
      <c r="M5" s="51"/>
      <c r="N5" s="51"/>
      <c r="O5" s="51"/>
      <c r="P5" s="51"/>
      <c r="Q5" s="51"/>
      <c r="R5" s="51"/>
      <c r="S5" s="51"/>
      <c r="T5" s="51"/>
      <c r="U5" s="51"/>
      <c r="V5" s="51"/>
      <c r="W5" s="51"/>
      <c r="X5" s="51"/>
      <c r="Y5" s="51"/>
      <c r="Z5" s="51"/>
      <c r="AA5" s="51"/>
      <c r="AB5" s="51"/>
      <c r="AC5" s="51"/>
      <c r="AD5" s="51"/>
      <c r="AE5" s="51"/>
      <c r="AF5" s="51"/>
    </row>
    <row r="6" spans="1:32" ht="15">
      <c r="A6" s="51"/>
      <c r="B6" s="51"/>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row>
    <row r="7" spans="1:32" ht="53.25" customHeight="1">
      <c r="A7" s="256" t="s">
        <v>31</v>
      </c>
      <c r="B7" s="257" t="s">
        <v>251</v>
      </c>
      <c r="C7" s="258" t="s">
        <v>252</v>
      </c>
      <c r="D7" s="258" t="s">
        <v>253</v>
      </c>
      <c r="E7" s="258" t="s">
        <v>254</v>
      </c>
      <c r="F7" s="255"/>
      <c r="G7" s="256" t="s">
        <v>31</v>
      </c>
      <c r="H7" s="1617" t="s">
        <v>272</v>
      </c>
      <c r="I7" s="1617" t="s">
        <v>273</v>
      </c>
      <c r="J7" s="1617" t="s">
        <v>274</v>
      </c>
      <c r="K7" s="255"/>
      <c r="L7" s="256" t="s">
        <v>31</v>
      </c>
      <c r="M7" s="256" t="s">
        <v>31</v>
      </c>
      <c r="N7" s="255"/>
      <c r="O7" s="255"/>
      <c r="P7" s="255"/>
      <c r="Q7" s="255"/>
      <c r="R7" s="256" t="s">
        <v>31</v>
      </c>
      <c r="S7" s="256" t="s">
        <v>31</v>
      </c>
      <c r="T7" s="256" t="s">
        <v>31</v>
      </c>
      <c r="U7" s="255"/>
      <c r="V7" s="255"/>
      <c r="W7" s="255"/>
      <c r="X7" s="255"/>
      <c r="Y7" s="255"/>
      <c r="Z7" s="255"/>
      <c r="AA7" s="255"/>
      <c r="AB7" s="255"/>
      <c r="AC7" s="255"/>
      <c r="AD7" s="255"/>
      <c r="AE7" s="255"/>
      <c r="AF7" s="255"/>
    </row>
    <row r="8" spans="1:32" ht="15" customHeight="1">
      <c r="A8" s="259" t="s">
        <v>255</v>
      </c>
      <c r="B8" s="260">
        <v>2304</v>
      </c>
      <c r="C8" s="261">
        <v>1388</v>
      </c>
      <c r="D8" s="261">
        <v>925</v>
      </c>
      <c r="E8" s="262" t="s">
        <v>31</v>
      </c>
      <c r="F8" s="255"/>
      <c r="G8" s="256" t="s">
        <v>31</v>
      </c>
      <c r="H8" s="1617"/>
      <c r="I8" s="1617"/>
      <c r="J8" s="1617"/>
      <c r="K8" s="255"/>
      <c r="L8" s="256" t="s">
        <v>31</v>
      </c>
      <c r="M8" s="256" t="s">
        <v>31</v>
      </c>
      <c r="N8" s="255"/>
      <c r="O8" s="255"/>
      <c r="P8" s="255"/>
      <c r="Q8" s="255"/>
      <c r="R8" s="256" t="s">
        <v>31</v>
      </c>
      <c r="S8" s="256" t="s">
        <v>31</v>
      </c>
      <c r="T8" s="256" t="s">
        <v>31</v>
      </c>
      <c r="U8" s="255"/>
      <c r="V8" s="255"/>
      <c r="W8" s="255"/>
      <c r="X8" s="255"/>
      <c r="Y8" s="255"/>
      <c r="Z8" s="255"/>
      <c r="AA8" s="255"/>
      <c r="AB8" s="255"/>
      <c r="AC8" s="255"/>
      <c r="AD8" s="255"/>
      <c r="AE8" s="255"/>
      <c r="AF8" s="255"/>
    </row>
    <row r="9" spans="1:32" ht="30">
      <c r="A9" s="328" t="s">
        <v>256</v>
      </c>
      <c r="B9" s="263">
        <f>ROUND(B8/9600,4)</f>
        <v>0.24</v>
      </c>
      <c r="C9" s="263">
        <f>ROUND(C8/9600,4)</f>
        <v>0.14460000000000001</v>
      </c>
      <c r="D9" s="263">
        <f>ROUND(D8/9600,4)</f>
        <v>9.64E-2</v>
      </c>
      <c r="E9" s="425">
        <v>0.2359</v>
      </c>
      <c r="F9" s="255"/>
      <c r="G9" s="256" t="s">
        <v>275</v>
      </c>
      <c r="H9" s="257">
        <v>0.28570000000000001</v>
      </c>
      <c r="I9" s="258">
        <v>2.0199999999999999E-2</v>
      </c>
      <c r="J9" s="258">
        <v>3.2199999999999999E-2</v>
      </c>
      <c r="K9" s="255"/>
      <c r="L9" s="256" t="s">
        <v>31</v>
      </c>
      <c r="M9" s="256" t="s">
        <v>31</v>
      </c>
      <c r="N9" s="255"/>
      <c r="O9" s="255"/>
      <c r="P9" s="255"/>
      <c r="Q9" s="255"/>
      <c r="R9" s="256" t="s">
        <v>31</v>
      </c>
      <c r="S9" s="422"/>
      <c r="T9" s="422"/>
      <c r="U9" s="422"/>
      <c r="V9" s="422"/>
      <c r="W9" s="422"/>
      <c r="X9" s="422"/>
      <c r="Y9" s="422"/>
      <c r="Z9" s="422"/>
      <c r="AA9" s="422"/>
      <c r="AB9" s="255"/>
      <c r="AC9" s="255"/>
      <c r="AD9" s="255"/>
      <c r="AE9" s="255"/>
      <c r="AF9" s="255"/>
    </row>
    <row r="10" spans="1:32" ht="15">
      <c r="A10" s="256" t="s">
        <v>31</v>
      </c>
      <c r="B10" s="256" t="s">
        <v>31</v>
      </c>
      <c r="C10" s="256" t="s">
        <v>31</v>
      </c>
      <c r="D10" s="256" t="s">
        <v>31</v>
      </c>
      <c r="E10" s="256" t="s">
        <v>31</v>
      </c>
      <c r="F10" s="256" t="s">
        <v>31</v>
      </c>
      <c r="G10" s="256" t="s">
        <v>31</v>
      </c>
      <c r="H10" s="255"/>
      <c r="I10" s="255"/>
      <c r="J10" s="255"/>
      <c r="K10" s="255"/>
      <c r="L10" s="256" t="s">
        <v>31</v>
      </c>
      <c r="M10" s="256" t="s">
        <v>31</v>
      </c>
      <c r="N10" s="256" t="s">
        <v>31</v>
      </c>
      <c r="O10" s="256" t="s">
        <v>31</v>
      </c>
      <c r="P10" s="256" t="s">
        <v>31</v>
      </c>
      <c r="Q10" s="256" t="s">
        <v>31</v>
      </c>
      <c r="R10" s="256" t="s">
        <v>31</v>
      </c>
      <c r="S10" s="256" t="s">
        <v>31</v>
      </c>
      <c r="T10" s="256" t="s">
        <v>31</v>
      </c>
      <c r="U10" s="255"/>
      <c r="V10" s="255"/>
      <c r="W10" s="255"/>
      <c r="X10" s="255"/>
      <c r="Y10" s="255"/>
      <c r="Z10" s="255"/>
      <c r="AA10" s="255"/>
      <c r="AB10" s="255"/>
      <c r="AC10" s="255"/>
      <c r="AD10" s="255"/>
      <c r="AE10" s="255"/>
      <c r="AF10" s="255"/>
    </row>
    <row r="11" spans="1:32" ht="15">
      <c r="A11" s="255"/>
      <c r="B11" s="255"/>
      <c r="C11" s="255"/>
      <c r="D11" s="255"/>
      <c r="E11" s="255"/>
      <c r="F11" s="255"/>
      <c r="G11" s="255"/>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row>
    <row r="12" spans="1:32" ht="15.75">
      <c r="A12" s="940" t="s">
        <v>693</v>
      </c>
      <c r="B12" s="255"/>
      <c r="C12" s="255"/>
      <c r="D12" s="255"/>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row>
    <row r="13" spans="1:32" ht="15" customHeight="1">
      <c r="A13" s="942"/>
      <c r="B13" s="1618" t="s">
        <v>183</v>
      </c>
      <c r="C13" s="1575" t="s">
        <v>182</v>
      </c>
      <c r="D13" s="1585" t="s">
        <v>276</v>
      </c>
      <c r="E13" s="1585"/>
      <c r="F13" s="1585"/>
      <c r="G13" s="1585"/>
      <c r="H13" s="1585"/>
      <c r="I13" s="1585"/>
      <c r="J13" s="1585"/>
      <c r="K13" s="1585"/>
      <c r="L13" s="1585"/>
      <c r="M13" s="1586"/>
      <c r="N13" s="1585" t="s">
        <v>31</v>
      </c>
      <c r="O13" s="1585"/>
      <c r="P13" s="1585"/>
      <c r="Q13" s="1586"/>
      <c r="R13" s="1587" t="s">
        <v>277</v>
      </c>
      <c r="S13" s="1587" t="s">
        <v>343</v>
      </c>
      <c r="T13" s="1589" t="s">
        <v>184</v>
      </c>
      <c r="U13" s="1621" t="s">
        <v>351</v>
      </c>
      <c r="V13" s="1622" t="s">
        <v>352</v>
      </c>
      <c r="W13" s="1622" t="s">
        <v>353</v>
      </c>
      <c r="X13" s="1622" t="s">
        <v>354</v>
      </c>
      <c r="Y13" s="1621" t="s">
        <v>355</v>
      </c>
      <c r="Z13" s="255"/>
      <c r="AA13" s="255"/>
      <c r="AB13" s="255"/>
      <c r="AC13" s="255"/>
      <c r="AD13" s="255"/>
      <c r="AE13" s="255"/>
    </row>
    <row r="14" spans="1:32" ht="68.25" customHeight="1">
      <c r="A14" s="942"/>
      <c r="B14" s="1619"/>
      <c r="C14" s="1576"/>
      <c r="D14" s="1585" t="s">
        <v>279</v>
      </c>
      <c r="E14" s="1585"/>
      <c r="F14" s="1586"/>
      <c r="G14" s="1585" t="s">
        <v>280</v>
      </c>
      <c r="H14" s="1585"/>
      <c r="I14" s="1586"/>
      <c r="J14" s="326" t="s">
        <v>281</v>
      </c>
      <c r="K14" s="1585" t="s">
        <v>282</v>
      </c>
      <c r="L14" s="1585"/>
      <c r="M14" s="1586"/>
      <c r="N14" s="1588" t="s">
        <v>283</v>
      </c>
      <c r="O14" s="1588" t="s">
        <v>284</v>
      </c>
      <c r="P14" s="1588" t="s">
        <v>285</v>
      </c>
      <c r="Q14" s="1588" t="s">
        <v>286</v>
      </c>
      <c r="R14" s="1588"/>
      <c r="S14" s="1588"/>
      <c r="T14" s="1590"/>
      <c r="U14" s="1621"/>
      <c r="V14" s="1622"/>
      <c r="W14" s="1622"/>
      <c r="X14" s="1622"/>
      <c r="Y14" s="1621"/>
      <c r="Z14" s="255"/>
      <c r="AA14" s="255"/>
      <c r="AB14" s="255"/>
      <c r="AC14" s="255"/>
      <c r="AD14" s="255"/>
      <c r="AE14" s="255"/>
    </row>
    <row r="15" spans="1:32" ht="47.25" customHeight="1">
      <c r="A15" s="942"/>
      <c r="B15" s="1620"/>
      <c r="C15" s="1576"/>
      <c r="D15" s="326" t="s">
        <v>287</v>
      </c>
      <c r="E15" s="326" t="s">
        <v>288</v>
      </c>
      <c r="F15" s="326" t="s">
        <v>289</v>
      </c>
      <c r="G15" s="452" t="s">
        <v>287</v>
      </c>
      <c r="H15" s="452" t="s">
        <v>288</v>
      </c>
      <c r="I15" s="326" t="s">
        <v>290</v>
      </c>
      <c r="J15" s="452" t="s">
        <v>291</v>
      </c>
      <c r="K15" s="326" t="s">
        <v>292</v>
      </c>
      <c r="L15" s="326" t="s">
        <v>293</v>
      </c>
      <c r="M15" s="326" t="s">
        <v>294</v>
      </c>
      <c r="N15" s="1599"/>
      <c r="O15" s="1588"/>
      <c r="P15" s="1588"/>
      <c r="Q15" s="1599"/>
      <c r="R15" s="1599"/>
      <c r="S15" s="1599"/>
      <c r="T15" s="1608"/>
      <c r="U15" s="1621"/>
      <c r="V15" s="1622"/>
      <c r="W15" s="1622"/>
      <c r="X15" s="1622"/>
      <c r="Y15" s="1621"/>
      <c r="Z15" s="255"/>
      <c r="AA15" s="424"/>
      <c r="AB15" s="255"/>
      <c r="AC15" s="255"/>
      <c r="AD15" s="255"/>
      <c r="AE15" s="255"/>
    </row>
    <row r="16" spans="1:32" ht="15">
      <c r="A16" s="941" t="s">
        <v>356</v>
      </c>
      <c r="B16" s="328" t="str">
        <f>0&amp;6033</f>
        <v>06033</v>
      </c>
      <c r="C16" s="840" t="s">
        <v>296</v>
      </c>
      <c r="D16" s="329">
        <v>81</v>
      </c>
      <c r="E16" s="329">
        <v>50</v>
      </c>
      <c r="F16" s="448">
        <v>0</v>
      </c>
      <c r="G16" s="453">
        <f>D16*$B$9</f>
        <v>19.439999999999998</v>
      </c>
      <c r="H16" s="453">
        <f>E16*$C$9</f>
        <v>7.23</v>
      </c>
      <c r="I16" s="448">
        <v>0</v>
      </c>
      <c r="J16" s="453">
        <f>(G16+H16)*$E$9</f>
        <v>6.2914529999999997</v>
      </c>
      <c r="K16" s="330">
        <f>L16+M16</f>
        <v>7.87</v>
      </c>
      <c r="L16" s="330">
        <v>1.83</v>
      </c>
      <c r="M16" s="330">
        <v>6.04</v>
      </c>
      <c r="N16" s="448">
        <v>12.94</v>
      </c>
      <c r="O16" s="453">
        <f>(G16+H16+I16)*$H$9</f>
        <v>7.6196190000000001</v>
      </c>
      <c r="P16" s="453">
        <f>(G16+H16+I16)*$I$9</f>
        <v>0.53873399999999994</v>
      </c>
      <c r="Q16" s="453">
        <f>(G16+H16+I16)*$J$9</f>
        <v>0.85877399999999993</v>
      </c>
      <c r="R16" s="331">
        <f>G16+H16+I16+J16+K16+N16+O16+P16+Q16</f>
        <v>62.788579999999989</v>
      </c>
      <c r="S16" s="331">
        <v>4</v>
      </c>
      <c r="T16" s="332">
        <f t="shared" ref="T16" si="0">R16-S16</f>
        <v>58.788579999999989</v>
      </c>
      <c r="U16" s="1615">
        <f>T16-T17</f>
        <v>7.4585799999999907</v>
      </c>
      <c r="V16" s="1463">
        <v>5000</v>
      </c>
      <c r="W16" s="1463">
        <v>1.3</v>
      </c>
      <c r="X16" s="1463">
        <f>V16*W16</f>
        <v>6500</v>
      </c>
      <c r="Y16" s="1616">
        <f>X16*T16</f>
        <v>382125.7699999999</v>
      </c>
      <c r="Z16" s="1597"/>
      <c r="AA16" s="1597"/>
      <c r="AB16" s="255"/>
      <c r="AC16" s="255"/>
      <c r="AD16" s="255"/>
      <c r="AE16" s="255"/>
    </row>
    <row r="17" spans="1:32" ht="15">
      <c r="A17" s="327" t="s">
        <v>357</v>
      </c>
      <c r="B17" s="336" t="str">
        <f>0&amp;6033</f>
        <v>06033</v>
      </c>
      <c r="C17" s="841" t="s">
        <v>296</v>
      </c>
      <c r="D17" s="337">
        <v>81</v>
      </c>
      <c r="E17" s="338">
        <v>50</v>
      </c>
      <c r="F17" s="339">
        <v>0</v>
      </c>
      <c r="G17" s="513">
        <f t="shared" ref="G17:G27" si="1">D17*$B$9</f>
        <v>19.439999999999998</v>
      </c>
      <c r="H17" s="513">
        <f t="shared" ref="H17:H21" si="2">E17*$C$9</f>
        <v>7.23</v>
      </c>
      <c r="I17" s="341">
        <v>0</v>
      </c>
      <c r="J17" s="513">
        <f t="shared" ref="J17:J27" si="3">(G17+H17)*$E$9</f>
        <v>6.2914529999999997</v>
      </c>
      <c r="K17" s="337">
        <v>0.86</v>
      </c>
      <c r="L17" s="338">
        <v>0</v>
      </c>
      <c r="M17" s="338">
        <v>0.86</v>
      </c>
      <c r="N17" s="339">
        <v>8.49</v>
      </c>
      <c r="O17" s="513">
        <f>(G17+H17+I17)*$H$9+4</f>
        <v>11.619619</v>
      </c>
      <c r="P17" s="513">
        <f t="shared" ref="P17:P27" si="4">(G17+H17+I17)*$I$9</f>
        <v>0.53873399999999994</v>
      </c>
      <c r="Q17" s="513">
        <f t="shared" ref="Q17:Q27" si="5">(G17+H17+I17)*$J$9</f>
        <v>0.85877399999999993</v>
      </c>
      <c r="R17" s="341">
        <f>G17+H17+I17+J17+K17+N17+O17+P17+Q17</f>
        <v>55.328579999999995</v>
      </c>
      <c r="S17" s="340">
        <v>4</v>
      </c>
      <c r="T17" s="349">
        <f>ROUND(R17-S17,2)</f>
        <v>51.33</v>
      </c>
      <c r="U17" s="1615"/>
      <c r="V17" s="1463"/>
      <c r="W17" s="1463"/>
      <c r="X17" s="1463"/>
      <c r="Y17" s="1616"/>
      <c r="Z17" s="1597"/>
      <c r="AA17" s="1597"/>
      <c r="AB17" s="255"/>
      <c r="AC17" s="255"/>
      <c r="AD17" s="255"/>
      <c r="AE17" s="255"/>
    </row>
    <row r="18" spans="1:32" ht="15">
      <c r="A18" s="327" t="s">
        <v>356</v>
      </c>
      <c r="B18" s="342" t="str">
        <f>0&amp;6015</f>
        <v>06015</v>
      </c>
      <c r="C18" s="327" t="s">
        <v>358</v>
      </c>
      <c r="D18" s="343">
        <v>75</v>
      </c>
      <c r="E18" s="343">
        <v>45</v>
      </c>
      <c r="F18" s="449">
        <v>0</v>
      </c>
      <c r="G18" s="453">
        <f t="shared" si="1"/>
        <v>18</v>
      </c>
      <c r="H18" s="453">
        <f t="shared" si="2"/>
        <v>6.5070000000000006</v>
      </c>
      <c r="I18" s="457">
        <v>0</v>
      </c>
      <c r="J18" s="453">
        <f t="shared" si="3"/>
        <v>5.7812013000000002</v>
      </c>
      <c r="K18" s="454">
        <f t="shared" ref="K18:K27" si="6">L18+M18</f>
        <v>6.38</v>
      </c>
      <c r="L18" s="343">
        <v>0.05</v>
      </c>
      <c r="M18" s="343">
        <v>6.33</v>
      </c>
      <c r="N18" s="449">
        <v>4.1399999999999997</v>
      </c>
      <c r="O18" s="453">
        <f t="shared" ref="O18" si="7">(G18+H18+I18)*$H$9</f>
        <v>7.0016499000000003</v>
      </c>
      <c r="P18" s="453">
        <f t="shared" si="4"/>
        <v>0.49504140000000002</v>
      </c>
      <c r="Q18" s="453">
        <f t="shared" si="5"/>
        <v>0.78912540000000009</v>
      </c>
      <c r="R18" s="461">
        <f>G18+H18+I18+J18+K18+N18+O18+P18+Q18</f>
        <v>49.094017999999998</v>
      </c>
      <c r="S18" s="344">
        <v>4</v>
      </c>
      <c r="T18" s="345">
        <f t="shared" ref="T18:T27" si="8">R18-S18</f>
        <v>45.094017999999998</v>
      </c>
      <c r="U18" s="1615">
        <f>T18-T19</f>
        <v>8.1650459999999967</v>
      </c>
      <c r="V18" s="1463">
        <v>1000</v>
      </c>
      <c r="W18" s="1463">
        <v>1</v>
      </c>
      <c r="X18" s="1463">
        <f>V18*W18</f>
        <v>1000</v>
      </c>
      <c r="Y18" s="1616">
        <f>X18*T18</f>
        <v>45094.017999999996</v>
      </c>
      <c r="Z18" s="1597"/>
      <c r="AA18" s="1596"/>
      <c r="AB18" s="255"/>
      <c r="AC18" s="255"/>
      <c r="AD18" s="255"/>
      <c r="AE18" s="255"/>
    </row>
    <row r="19" spans="1:32" ht="15">
      <c r="A19" s="327" t="s">
        <v>357</v>
      </c>
      <c r="B19" s="346" t="str">
        <f>0&amp;6015</f>
        <v>06015</v>
      </c>
      <c r="C19" s="347" t="s">
        <v>358</v>
      </c>
      <c r="D19" s="338">
        <v>71</v>
      </c>
      <c r="E19" s="338">
        <v>30</v>
      </c>
      <c r="F19" s="339">
        <v>0</v>
      </c>
      <c r="G19" s="513">
        <f t="shared" si="1"/>
        <v>17.04</v>
      </c>
      <c r="H19" s="513">
        <f t="shared" si="2"/>
        <v>4.3380000000000001</v>
      </c>
      <c r="I19" s="341">
        <v>0</v>
      </c>
      <c r="J19" s="513">
        <f t="shared" si="3"/>
        <v>5.0430701999999998</v>
      </c>
      <c r="K19" s="337">
        <f t="shared" si="6"/>
        <v>1.1299999999999999</v>
      </c>
      <c r="L19" s="338">
        <v>0</v>
      </c>
      <c r="M19" s="338">
        <v>1.1299999999999999</v>
      </c>
      <c r="N19" s="339">
        <v>2.15</v>
      </c>
      <c r="O19" s="513">
        <f>(G19+H19+I19)*$H$9+4</f>
        <v>10.1076946</v>
      </c>
      <c r="P19" s="513">
        <f t="shared" si="4"/>
        <v>0.43183559999999999</v>
      </c>
      <c r="Q19" s="513">
        <f t="shared" si="5"/>
        <v>0.68837159999999997</v>
      </c>
      <c r="R19" s="341">
        <f>G19+H19+J19+K19+N19+O19+P19+Q19</f>
        <v>40.928972000000002</v>
      </c>
      <c r="S19" s="348">
        <v>4</v>
      </c>
      <c r="T19" s="349">
        <f t="shared" si="8"/>
        <v>36.928972000000002</v>
      </c>
      <c r="U19" s="1463"/>
      <c r="V19" s="1463"/>
      <c r="W19" s="1463"/>
      <c r="X19" s="1463"/>
      <c r="Y19" s="1616"/>
      <c r="Z19" s="1597"/>
      <c r="AA19" s="1596"/>
      <c r="AB19" s="255"/>
      <c r="AC19" s="255"/>
      <c r="AD19" s="255"/>
      <c r="AE19" s="255"/>
    </row>
    <row r="20" spans="1:32" ht="30">
      <c r="A20" s="327" t="s">
        <v>359</v>
      </c>
      <c r="B20" s="342" t="s">
        <v>360</v>
      </c>
      <c r="C20" s="842" t="s">
        <v>361</v>
      </c>
      <c r="D20" s="350">
        <v>70</v>
      </c>
      <c r="E20" s="350">
        <v>0</v>
      </c>
      <c r="F20" s="334">
        <v>0</v>
      </c>
      <c r="G20" s="453">
        <f t="shared" si="1"/>
        <v>16.8</v>
      </c>
      <c r="H20" s="453">
        <f t="shared" si="2"/>
        <v>0</v>
      </c>
      <c r="I20" s="458">
        <v>0</v>
      </c>
      <c r="J20" s="453">
        <f t="shared" si="3"/>
        <v>3.96312</v>
      </c>
      <c r="K20" s="450">
        <f t="shared" si="6"/>
        <v>3.07</v>
      </c>
      <c r="L20" s="350">
        <v>0.05</v>
      </c>
      <c r="M20" s="350">
        <v>3.02</v>
      </c>
      <c r="N20" s="334">
        <v>4.1399999999999997</v>
      </c>
      <c r="O20" s="453">
        <f t="shared" ref="O20:O21" si="9">(G20+H20+I20)*$H$9</f>
        <v>4.79976</v>
      </c>
      <c r="P20" s="453">
        <f t="shared" si="4"/>
        <v>0.33935999999999999</v>
      </c>
      <c r="Q20" s="453">
        <f t="shared" si="5"/>
        <v>0.54096</v>
      </c>
      <c r="R20" s="462">
        <f>G20+J20+K20+N20+O20+P20+Q20</f>
        <v>33.653199999999998</v>
      </c>
      <c r="S20" s="352">
        <v>4</v>
      </c>
      <c r="T20" s="353">
        <f t="shared" si="8"/>
        <v>29.653199999999998</v>
      </c>
      <c r="U20" s="430" t="s">
        <v>362</v>
      </c>
      <c r="V20" s="430">
        <v>500</v>
      </c>
      <c r="W20" s="430">
        <v>1</v>
      </c>
      <c r="X20" s="430">
        <f>V20*W20</f>
        <v>500</v>
      </c>
      <c r="Y20" s="518">
        <f>T20*X20</f>
        <v>14826.599999999999</v>
      </c>
      <c r="Z20" s="255"/>
      <c r="AA20" s="255"/>
      <c r="AB20" s="255"/>
      <c r="AC20" s="255"/>
      <c r="AD20" s="255"/>
      <c r="AE20" s="255"/>
    </row>
    <row r="21" spans="1:32" ht="30">
      <c r="A21" s="327" t="s">
        <v>356</v>
      </c>
      <c r="B21" s="354" t="str">
        <f>0&amp;6003</f>
        <v>06003</v>
      </c>
      <c r="C21" s="843" t="s">
        <v>363</v>
      </c>
      <c r="D21" s="322">
        <v>0</v>
      </c>
      <c r="E21" s="322">
        <v>15</v>
      </c>
      <c r="F21" s="373">
        <v>0</v>
      </c>
      <c r="G21" s="453">
        <f t="shared" si="1"/>
        <v>0</v>
      </c>
      <c r="H21" s="453">
        <f t="shared" si="2"/>
        <v>2.169</v>
      </c>
      <c r="I21" s="459">
        <v>0</v>
      </c>
      <c r="J21" s="453">
        <f t="shared" si="3"/>
        <v>0.51166710000000004</v>
      </c>
      <c r="K21" s="455">
        <f t="shared" si="6"/>
        <v>0.61</v>
      </c>
      <c r="L21" s="322">
        <v>0</v>
      </c>
      <c r="M21" s="322">
        <v>0.61</v>
      </c>
      <c r="N21" s="373">
        <v>0.48</v>
      </c>
      <c r="O21" s="453">
        <f t="shared" si="9"/>
        <v>0.61968330000000005</v>
      </c>
      <c r="P21" s="453">
        <f t="shared" si="4"/>
        <v>4.38138E-2</v>
      </c>
      <c r="Q21" s="453">
        <f t="shared" si="5"/>
        <v>6.9841799999999996E-2</v>
      </c>
      <c r="R21" s="463">
        <f>H21+J21+K21+N21+O21+P21+Q21</f>
        <v>4.5040059999999995</v>
      </c>
      <c r="S21" s="351">
        <v>2</v>
      </c>
      <c r="T21" s="356">
        <f t="shared" si="8"/>
        <v>2.5040059999999995</v>
      </c>
      <c r="U21" s="1615">
        <f>T21-T22</f>
        <v>0.67400599999999988</v>
      </c>
      <c r="V21" s="1463">
        <v>5000</v>
      </c>
      <c r="W21" s="1463">
        <v>2</v>
      </c>
      <c r="X21" s="1463">
        <f>V21*W21</f>
        <v>10000</v>
      </c>
      <c r="Y21" s="1616">
        <f>X21*T21</f>
        <v>25040.059999999994</v>
      </c>
      <c r="Z21" s="1597"/>
      <c r="AA21" s="1597"/>
      <c r="AB21" s="255"/>
      <c r="AC21" s="255"/>
      <c r="AD21" s="255"/>
      <c r="AE21" s="255"/>
    </row>
    <row r="22" spans="1:32" ht="30">
      <c r="A22" s="327" t="s">
        <v>357</v>
      </c>
      <c r="B22" s="342" t="str">
        <f>0&amp;6003</f>
        <v>06003</v>
      </c>
      <c r="C22" s="844" t="s">
        <v>363</v>
      </c>
      <c r="D22" s="323">
        <v>0</v>
      </c>
      <c r="E22" s="323">
        <v>6</v>
      </c>
      <c r="F22" s="357">
        <v>0</v>
      </c>
      <c r="G22" s="513">
        <f t="shared" si="1"/>
        <v>0</v>
      </c>
      <c r="H22" s="513">
        <f>ROUNDUP(E22*$C$9,2)</f>
        <v>0.87</v>
      </c>
      <c r="I22" s="456">
        <v>0</v>
      </c>
      <c r="J22" s="513">
        <f t="shared" si="3"/>
        <v>0.205233</v>
      </c>
      <c r="K22" s="365">
        <f t="shared" si="6"/>
        <v>0.09</v>
      </c>
      <c r="L22" s="323">
        <v>0</v>
      </c>
      <c r="M22" s="323">
        <v>0.09</v>
      </c>
      <c r="N22" s="357">
        <v>0.36</v>
      </c>
      <c r="O22" s="513">
        <f>ROUND((G22+H22+I22)*$H$9+2,2)</f>
        <v>2.25</v>
      </c>
      <c r="P22" s="513">
        <f t="shared" si="4"/>
        <v>1.7573999999999999E-2</v>
      </c>
      <c r="Q22" s="513">
        <f t="shared" si="5"/>
        <v>2.8014000000000001E-2</v>
      </c>
      <c r="R22" s="451">
        <f>ROUNDUP(H22+J22+K22+N22+O22+P22+Q22,2)</f>
        <v>3.8299999999999996</v>
      </c>
      <c r="S22" s="321">
        <v>2</v>
      </c>
      <c r="T22" s="357">
        <f t="shared" si="8"/>
        <v>1.8299999999999996</v>
      </c>
      <c r="U22" s="1463"/>
      <c r="V22" s="1463"/>
      <c r="W22" s="1463"/>
      <c r="X22" s="1463"/>
      <c r="Y22" s="1616"/>
      <c r="Z22" s="1597"/>
      <c r="AA22" s="1597"/>
      <c r="AB22" s="255"/>
      <c r="AC22" s="255"/>
      <c r="AD22" s="255"/>
      <c r="AE22" s="255"/>
    </row>
    <row r="23" spans="1:32" ht="30">
      <c r="A23" s="327" t="s">
        <v>357</v>
      </c>
      <c r="B23" s="358" t="str">
        <f>0&amp;6004</f>
        <v>06004</v>
      </c>
      <c r="C23" s="845" t="s">
        <v>364</v>
      </c>
      <c r="D23" s="323">
        <v>15</v>
      </c>
      <c r="E23" s="323">
        <v>0</v>
      </c>
      <c r="F23" s="357">
        <v>0</v>
      </c>
      <c r="G23" s="513">
        <f t="shared" si="1"/>
        <v>3.5999999999999996</v>
      </c>
      <c r="H23" s="513">
        <f t="shared" ref="H23:H27" si="10">E23*$C$9</f>
        <v>0</v>
      </c>
      <c r="I23" s="456">
        <v>0</v>
      </c>
      <c r="J23" s="513">
        <f t="shared" si="3"/>
        <v>0.84923999999999988</v>
      </c>
      <c r="K23" s="365">
        <f t="shared" si="6"/>
        <v>0.39</v>
      </c>
      <c r="L23" s="323">
        <v>0</v>
      </c>
      <c r="M23" s="323">
        <v>0.39</v>
      </c>
      <c r="N23" s="460">
        <v>0</v>
      </c>
      <c r="O23" s="513">
        <f t="shared" ref="O23" si="11">(G23+H23+I23)*$H$9</f>
        <v>1.0285199999999999</v>
      </c>
      <c r="P23" s="513">
        <f t="shared" si="4"/>
        <v>7.2719999999999993E-2</v>
      </c>
      <c r="Q23" s="513">
        <f t="shared" si="5"/>
        <v>0.11591999999999998</v>
      </c>
      <c r="R23" s="464">
        <f>G23+J23+K23+N23+O23+P23+Q23</f>
        <v>6.0563999999999991</v>
      </c>
      <c r="S23" s="359">
        <v>0</v>
      </c>
      <c r="T23" s="360">
        <f t="shared" si="8"/>
        <v>6.0563999999999991</v>
      </c>
      <c r="U23" s="430" t="s">
        <v>362</v>
      </c>
      <c r="V23" s="430">
        <v>5000</v>
      </c>
      <c r="W23" s="430">
        <v>2</v>
      </c>
      <c r="X23" s="430">
        <f>V23*W23</f>
        <v>10000</v>
      </c>
      <c r="Y23" s="518">
        <f>X23*T23</f>
        <v>60563.999999999993</v>
      </c>
      <c r="Z23" s="255"/>
      <c r="AA23" s="255"/>
      <c r="AB23" s="255"/>
      <c r="AC23" s="255"/>
      <c r="AD23" s="255"/>
      <c r="AE23" s="255"/>
    </row>
    <row r="24" spans="1:32" ht="15">
      <c r="A24" s="327" t="s">
        <v>357</v>
      </c>
      <c r="B24" s="336" t="str">
        <f>0&amp;6021</f>
        <v>06021</v>
      </c>
      <c r="C24" s="347" t="s">
        <v>295</v>
      </c>
      <c r="D24" s="323">
        <v>36</v>
      </c>
      <c r="E24" s="323">
        <v>35</v>
      </c>
      <c r="F24" s="357">
        <v>0</v>
      </c>
      <c r="G24" s="513">
        <f t="shared" si="1"/>
        <v>8.64</v>
      </c>
      <c r="H24" s="513">
        <f t="shared" si="10"/>
        <v>5.0609999999999999</v>
      </c>
      <c r="I24" s="456">
        <v>0</v>
      </c>
      <c r="J24" s="513">
        <f t="shared" si="3"/>
        <v>3.2320659000000003</v>
      </c>
      <c r="K24" s="365">
        <f t="shared" si="6"/>
        <v>1.67</v>
      </c>
      <c r="L24" s="323">
        <v>0</v>
      </c>
      <c r="M24" s="323">
        <v>1.67</v>
      </c>
      <c r="N24" s="460">
        <v>3</v>
      </c>
      <c r="O24" s="513">
        <f>ROUND((G24+H24+I24)*$H$9+4,2)</f>
        <v>7.91</v>
      </c>
      <c r="P24" s="513">
        <f t="shared" si="4"/>
        <v>0.27676020000000001</v>
      </c>
      <c r="Q24" s="513">
        <f t="shared" si="5"/>
        <v>0.44117220000000001</v>
      </c>
      <c r="R24" s="464">
        <f>H24+J24+G24+K24+N24+O24+P24+Q24</f>
        <v>30.230998300000007</v>
      </c>
      <c r="S24" s="352">
        <v>4</v>
      </c>
      <c r="T24" s="360">
        <f t="shared" si="8"/>
        <v>26.230998300000007</v>
      </c>
      <c r="U24" s="1615">
        <f>T25-T24</f>
        <v>2.4502196999999875</v>
      </c>
      <c r="V24" s="1463">
        <f>5000*0.45</f>
        <v>2250</v>
      </c>
      <c r="W24" s="1463">
        <v>2</v>
      </c>
      <c r="X24" s="1463">
        <f>ROUNDUP(V24*W24,0)</f>
        <v>4500</v>
      </c>
      <c r="Y24" s="1616">
        <f>X24*T25</f>
        <v>129065.48099999997</v>
      </c>
      <c r="Z24" s="1614"/>
      <c r="AA24" s="1614"/>
      <c r="AB24" s="255"/>
      <c r="AC24" s="255"/>
      <c r="AD24" s="255"/>
      <c r="AE24" s="255"/>
    </row>
    <row r="25" spans="1:32" ht="15">
      <c r="A25" s="327" t="s">
        <v>356</v>
      </c>
      <c r="B25" s="336" t="str">
        <f>0&amp;6021</f>
        <v>06021</v>
      </c>
      <c r="C25" s="347" t="s">
        <v>295</v>
      </c>
      <c r="D25" s="323">
        <v>45</v>
      </c>
      <c r="E25" s="323">
        <v>45</v>
      </c>
      <c r="F25" s="357">
        <v>0</v>
      </c>
      <c r="G25" s="453">
        <f t="shared" si="1"/>
        <v>10.799999999999999</v>
      </c>
      <c r="H25" s="453">
        <f t="shared" si="10"/>
        <v>6.5070000000000006</v>
      </c>
      <c r="I25" s="456">
        <v>0</v>
      </c>
      <c r="J25" s="453">
        <f t="shared" si="3"/>
        <v>4.0827212999999993</v>
      </c>
      <c r="K25" s="365">
        <f t="shared" si="6"/>
        <v>3.2</v>
      </c>
      <c r="L25" s="323">
        <v>0.93</v>
      </c>
      <c r="M25" s="323">
        <v>2.27</v>
      </c>
      <c r="N25" s="460">
        <v>2.2400000000000002</v>
      </c>
      <c r="O25" s="453">
        <f t="shared" ref="O25:O27" si="12">(G25+H25+I25)*$H$9</f>
        <v>4.9446098999999997</v>
      </c>
      <c r="P25" s="453">
        <f t="shared" si="4"/>
        <v>0.34960139999999995</v>
      </c>
      <c r="Q25" s="453">
        <f t="shared" si="5"/>
        <v>0.55728539999999993</v>
      </c>
      <c r="R25" s="464">
        <f>H25+J25+G25+K25+N25+O25+P25+Q25</f>
        <v>32.681217999999994</v>
      </c>
      <c r="S25" s="352">
        <v>4</v>
      </c>
      <c r="T25" s="360">
        <f t="shared" si="8"/>
        <v>28.681217999999994</v>
      </c>
      <c r="U25" s="1463"/>
      <c r="V25" s="1463"/>
      <c r="W25" s="1463"/>
      <c r="X25" s="1463"/>
      <c r="Y25" s="1616"/>
      <c r="Z25" s="1614"/>
      <c r="AA25" s="1614"/>
      <c r="AB25" s="255"/>
      <c r="AC25" s="255"/>
      <c r="AD25" s="255"/>
      <c r="AE25" s="255"/>
    </row>
    <row r="26" spans="1:32" ht="30">
      <c r="A26" s="347" t="s">
        <v>359</v>
      </c>
      <c r="B26" s="364" t="s">
        <v>365</v>
      </c>
      <c r="C26" s="845" t="s">
        <v>345</v>
      </c>
      <c r="D26" s="323">
        <v>20</v>
      </c>
      <c r="E26" s="323">
        <v>40</v>
      </c>
      <c r="F26" s="357">
        <v>0</v>
      </c>
      <c r="G26" s="480">
        <f t="shared" si="1"/>
        <v>4.8</v>
      </c>
      <c r="H26" s="480">
        <f t="shared" si="10"/>
        <v>5.7840000000000007</v>
      </c>
      <c r="I26" s="456">
        <v>0</v>
      </c>
      <c r="J26" s="480">
        <f t="shared" si="3"/>
        <v>2.4967655999999998</v>
      </c>
      <c r="K26" s="365">
        <f t="shared" si="6"/>
        <v>3.7600000000000002</v>
      </c>
      <c r="L26" s="323">
        <v>0.6</v>
      </c>
      <c r="M26" s="323">
        <v>3.16</v>
      </c>
      <c r="N26" s="357">
        <v>8.39</v>
      </c>
      <c r="O26" s="480">
        <f t="shared" si="12"/>
        <v>3.0238488000000001</v>
      </c>
      <c r="P26" s="480">
        <f t="shared" si="4"/>
        <v>0.21379679999999998</v>
      </c>
      <c r="Q26" s="480">
        <f t="shared" si="5"/>
        <v>0.34080479999999996</v>
      </c>
      <c r="R26" s="464">
        <f t="shared" ref="R26:R27" si="13">G26+H26+J26+K26+N26+O26+P26+Q26</f>
        <v>28.809216000000003</v>
      </c>
      <c r="S26" s="352">
        <v>4</v>
      </c>
      <c r="T26" s="360">
        <f t="shared" si="8"/>
        <v>24.809216000000003</v>
      </c>
      <c r="U26" s="430" t="s">
        <v>362</v>
      </c>
      <c r="V26" s="430">
        <v>500</v>
      </c>
      <c r="W26" s="430">
        <v>2</v>
      </c>
      <c r="X26" s="430">
        <f>V26*W26</f>
        <v>1000</v>
      </c>
      <c r="Y26" s="518">
        <f>X26*T26</f>
        <v>24809.216000000004</v>
      </c>
      <c r="Z26" s="370"/>
      <c r="AA26" s="806"/>
      <c r="AB26" s="255"/>
      <c r="AC26" s="255"/>
      <c r="AD26" s="255"/>
      <c r="AE26" s="255"/>
    </row>
    <row r="27" spans="1:32" ht="60">
      <c r="A27" s="516" t="s">
        <v>357</v>
      </c>
      <c r="B27" s="517">
        <v>60037</v>
      </c>
      <c r="C27" s="428" t="s">
        <v>366</v>
      </c>
      <c r="D27" s="430">
        <v>30</v>
      </c>
      <c r="E27" s="430">
        <v>10</v>
      </c>
      <c r="F27" s="430">
        <v>0</v>
      </c>
      <c r="G27" s="513">
        <f t="shared" si="1"/>
        <v>7.1999999999999993</v>
      </c>
      <c r="H27" s="513">
        <f t="shared" si="10"/>
        <v>1.4460000000000002</v>
      </c>
      <c r="I27" s="430">
        <v>0</v>
      </c>
      <c r="J27" s="513">
        <f t="shared" si="3"/>
        <v>2.0395913999999999</v>
      </c>
      <c r="K27" s="430">
        <f t="shared" si="6"/>
        <v>0</v>
      </c>
      <c r="L27" s="430">
        <v>0</v>
      </c>
      <c r="M27" s="430">
        <v>0</v>
      </c>
      <c r="N27" s="430">
        <v>0</v>
      </c>
      <c r="O27" s="513">
        <f t="shared" si="12"/>
        <v>2.4701621999999999</v>
      </c>
      <c r="P27" s="513">
        <f t="shared" si="4"/>
        <v>0.17464919999999998</v>
      </c>
      <c r="Q27" s="513">
        <f t="shared" si="5"/>
        <v>0.27840119999999996</v>
      </c>
      <c r="R27" s="429">
        <f t="shared" si="13"/>
        <v>13.608803999999999</v>
      </c>
      <c r="S27" s="430">
        <v>0</v>
      </c>
      <c r="T27" s="519">
        <f t="shared" si="8"/>
        <v>13.608803999999999</v>
      </c>
      <c r="U27" s="430" t="s">
        <v>362</v>
      </c>
      <c r="V27" s="430">
        <v>1500</v>
      </c>
      <c r="W27" s="430">
        <v>4</v>
      </c>
      <c r="X27" s="430">
        <f>V27*W27</f>
        <v>6000</v>
      </c>
      <c r="Y27" s="518">
        <f>X27*T27</f>
        <v>81652.823999999993</v>
      </c>
      <c r="Z27" s="370"/>
      <c r="AA27" s="370"/>
      <c r="AB27" s="255"/>
      <c r="AC27" s="255"/>
      <c r="AD27" s="255"/>
      <c r="AE27" s="255"/>
    </row>
    <row r="28" spans="1:32" ht="15">
      <c r="A28" s="516" t="s">
        <v>357</v>
      </c>
      <c r="B28" s="516" t="str">
        <f>0&amp;7024</f>
        <v>07024</v>
      </c>
      <c r="C28" s="427" t="s">
        <v>367</v>
      </c>
      <c r="D28" s="430">
        <v>20</v>
      </c>
      <c r="E28" s="430">
        <v>15</v>
      </c>
      <c r="F28" s="430">
        <v>0</v>
      </c>
      <c r="G28" s="453">
        <f>ROUND(D28*$B$9,2)</f>
        <v>4.8</v>
      </c>
      <c r="H28" s="453">
        <f>ROUND(E28*$C$9,2)</f>
        <v>2.17</v>
      </c>
      <c r="I28" s="430">
        <v>0</v>
      </c>
      <c r="J28" s="453">
        <f>ROUND((G28+H28)*$E$9,2)</f>
        <v>1.64</v>
      </c>
      <c r="K28" s="430">
        <f t="shared" ref="K28" si="14">L28+M28</f>
        <v>0.03</v>
      </c>
      <c r="L28" s="430">
        <v>0</v>
      </c>
      <c r="M28" s="430">
        <v>0.03</v>
      </c>
      <c r="N28" s="430">
        <v>0</v>
      </c>
      <c r="O28" s="453">
        <f>ROUND((G28+H28+I28)*$H$9,2)</f>
        <v>1.99</v>
      </c>
      <c r="P28" s="453">
        <f>ROUND((G28+H28+I28)*$I$9,2)</f>
        <v>0.14000000000000001</v>
      </c>
      <c r="Q28" s="453">
        <f>ROUND((G28+H28+I28)*$J$9,2)</f>
        <v>0.22</v>
      </c>
      <c r="R28" s="429">
        <f>ROUND(G28+H28+J28+K28+N28+O28+P28+Q28,2)</f>
        <v>10.99</v>
      </c>
      <c r="S28" s="430">
        <v>0</v>
      </c>
      <c r="T28" s="519">
        <f t="shared" ref="T28" si="15">R28-S28</f>
        <v>10.99</v>
      </c>
      <c r="U28" s="430" t="s">
        <v>362</v>
      </c>
      <c r="V28" s="430">
        <v>750</v>
      </c>
      <c r="W28" s="430">
        <v>2</v>
      </c>
      <c r="X28" s="430">
        <f t="shared" ref="X28:X29" si="16">V28*W28</f>
        <v>1500</v>
      </c>
      <c r="Y28" s="518">
        <f>X28*T28</f>
        <v>16485</v>
      </c>
      <c r="Z28" s="255"/>
      <c r="AA28" s="255"/>
      <c r="AB28" s="255"/>
      <c r="AC28" s="255"/>
      <c r="AD28" s="255"/>
      <c r="AE28" s="255"/>
    </row>
    <row r="29" spans="1:32" ht="15">
      <c r="A29" s="75"/>
      <c r="B29" s="427"/>
      <c r="C29" s="427" t="s">
        <v>368</v>
      </c>
      <c r="D29" s="430"/>
      <c r="E29" s="430"/>
      <c r="F29" s="430"/>
      <c r="G29" s="430"/>
      <c r="H29" s="430"/>
      <c r="I29" s="430"/>
      <c r="J29" s="430"/>
      <c r="K29" s="430"/>
      <c r="L29" s="430"/>
      <c r="M29" s="430"/>
      <c r="N29" s="430"/>
      <c r="O29" s="430"/>
      <c r="P29" s="430"/>
      <c r="Q29" s="430"/>
      <c r="R29" s="430"/>
      <c r="S29" s="430"/>
      <c r="T29" s="430">
        <v>26.68</v>
      </c>
      <c r="U29" s="430"/>
      <c r="V29" s="430">
        <v>5000</v>
      </c>
      <c r="W29" s="430">
        <v>2</v>
      </c>
      <c r="X29" s="430">
        <f t="shared" si="16"/>
        <v>10000</v>
      </c>
      <c r="Y29" s="1001">
        <f>X29*T29</f>
        <v>266800</v>
      </c>
      <c r="Z29" s="255"/>
      <c r="AA29" s="255"/>
      <c r="AB29" s="255"/>
      <c r="AC29" s="255"/>
      <c r="AD29" s="255"/>
      <c r="AE29" s="255"/>
    </row>
    <row r="30" spans="1:32" ht="15">
      <c r="A30" s="255" t="s">
        <v>369</v>
      </c>
      <c r="B30" s="255"/>
      <c r="C30" s="255"/>
      <c r="D30" s="255"/>
      <c r="E30" s="255"/>
      <c r="F30" s="255"/>
      <c r="G30" s="255"/>
      <c r="H30" s="255"/>
      <c r="I30" s="255"/>
      <c r="J30" s="255"/>
      <c r="K30" s="255"/>
      <c r="L30" s="255"/>
      <c r="M30" s="255"/>
      <c r="N30" s="255"/>
      <c r="O30" s="255"/>
      <c r="P30" s="255"/>
      <c r="Q30" s="255"/>
      <c r="R30" s="255"/>
      <c r="S30" s="255"/>
      <c r="T30" s="255"/>
      <c r="U30" s="255"/>
      <c r="X30" s="847" t="s">
        <v>370</v>
      </c>
      <c r="Y30" s="482">
        <f>SUM(Y16:Y29)</f>
        <v>1046462.9689999998</v>
      </c>
      <c r="Z30" s="255"/>
      <c r="AA30" s="255"/>
      <c r="AB30" s="255"/>
      <c r="AC30" s="255"/>
      <c r="AD30" s="255"/>
      <c r="AE30" s="255"/>
      <c r="AF30" s="255"/>
    </row>
    <row r="31" spans="1:32" ht="15">
      <c r="A31" s="255" t="s">
        <v>371</v>
      </c>
      <c r="B31" s="255"/>
      <c r="C31" s="255"/>
      <c r="D31" s="255"/>
      <c r="E31" s="255"/>
      <c r="F31" s="255"/>
      <c r="G31" s="255"/>
      <c r="H31" s="255"/>
      <c r="I31" s="255"/>
      <c r="J31" s="255"/>
      <c r="K31" s="255"/>
      <c r="L31" s="255"/>
      <c r="M31" s="255"/>
      <c r="N31" s="255"/>
      <c r="O31" s="255"/>
      <c r="P31" s="255"/>
      <c r="Q31" s="255"/>
      <c r="R31" s="255"/>
      <c r="S31" s="255"/>
      <c r="T31" s="255"/>
      <c r="U31" s="255"/>
      <c r="V31" s="831"/>
      <c r="X31" s="850" t="s">
        <v>372</v>
      </c>
      <c r="Y31" s="482">
        <f>Y30/5</f>
        <v>209292.59379999997</v>
      </c>
      <c r="Z31" s="255"/>
      <c r="AA31" s="255"/>
      <c r="AB31" s="255"/>
      <c r="AC31" s="255"/>
      <c r="AD31" s="255"/>
      <c r="AE31" s="255"/>
      <c r="AF31" s="255"/>
    </row>
    <row r="32" spans="1:32" ht="15">
      <c r="P32" s="255"/>
      <c r="Q32" s="255"/>
      <c r="R32" s="255"/>
      <c r="S32" s="255"/>
      <c r="T32" s="255"/>
      <c r="U32" s="255"/>
      <c r="V32" s="255"/>
      <c r="W32" s="255"/>
      <c r="X32" s="255"/>
      <c r="Y32" s="255"/>
      <c r="Z32" s="255"/>
      <c r="AA32" s="255"/>
      <c r="AB32" s="255"/>
      <c r="AC32" s="255"/>
      <c r="AD32" s="255"/>
      <c r="AE32" s="255"/>
      <c r="AF32" s="255"/>
    </row>
    <row r="33" spans="1:32" ht="15.75">
      <c r="A33" s="940" t="s">
        <v>695</v>
      </c>
      <c r="P33" s="426"/>
      <c r="Q33" s="426"/>
      <c r="AB33" s="255"/>
      <c r="AC33" s="255"/>
      <c r="AD33" s="255"/>
      <c r="AE33" s="255"/>
      <c r="AF33" s="255"/>
    </row>
    <row r="34" spans="1:32" ht="15">
      <c r="A34" s="325"/>
      <c r="B34" s="1575" t="s">
        <v>183</v>
      </c>
      <c r="C34" s="1575" t="s">
        <v>182</v>
      </c>
      <c r="D34" s="1585" t="s">
        <v>276</v>
      </c>
      <c r="E34" s="1585"/>
      <c r="F34" s="1585"/>
      <c r="G34" s="1585"/>
      <c r="H34" s="1585"/>
      <c r="I34" s="1585"/>
      <c r="J34" s="1585"/>
      <c r="K34" s="1585"/>
      <c r="L34" s="1585"/>
      <c r="M34" s="1586"/>
      <c r="N34" s="1585" t="s">
        <v>31</v>
      </c>
      <c r="O34" s="1585"/>
      <c r="P34" s="1585"/>
      <c r="Q34" s="1586"/>
      <c r="R34" s="1587" t="s">
        <v>277</v>
      </c>
      <c r="S34" s="1587" t="s">
        <v>343</v>
      </c>
      <c r="T34" s="1589" t="s">
        <v>184</v>
      </c>
      <c r="U34" s="1591" t="s">
        <v>351</v>
      </c>
      <c r="V34" s="1593" t="s">
        <v>352</v>
      </c>
      <c r="W34" s="1593" t="s">
        <v>353</v>
      </c>
      <c r="X34" s="1593" t="s">
        <v>354</v>
      </c>
      <c r="Y34" s="1591" t="s">
        <v>355</v>
      </c>
      <c r="Z34" s="255"/>
      <c r="AA34" s="255"/>
      <c r="AB34" s="255"/>
      <c r="AC34" s="255"/>
      <c r="AD34" s="255"/>
      <c r="AE34" s="255"/>
    </row>
    <row r="35" spans="1:32" ht="60">
      <c r="A35" s="325"/>
      <c r="B35" s="1576"/>
      <c r="C35" s="1576"/>
      <c r="D35" s="1585" t="s">
        <v>279</v>
      </c>
      <c r="E35" s="1585"/>
      <c r="F35" s="1586"/>
      <c r="G35" s="1585" t="s">
        <v>280</v>
      </c>
      <c r="H35" s="1585"/>
      <c r="I35" s="1586"/>
      <c r="J35" s="326" t="s">
        <v>281</v>
      </c>
      <c r="K35" s="1585" t="s">
        <v>282</v>
      </c>
      <c r="L35" s="1585"/>
      <c r="M35" s="1586"/>
      <c r="N35" s="1588" t="s">
        <v>283</v>
      </c>
      <c r="O35" s="1588" t="s">
        <v>284</v>
      </c>
      <c r="P35" s="1588" t="s">
        <v>285</v>
      </c>
      <c r="Q35" s="1588" t="s">
        <v>286</v>
      </c>
      <c r="R35" s="1588"/>
      <c r="S35" s="1588"/>
      <c r="T35" s="1590"/>
      <c r="U35" s="1591"/>
      <c r="V35" s="1593"/>
      <c r="W35" s="1593"/>
      <c r="X35" s="1593"/>
      <c r="Y35" s="1591"/>
      <c r="Z35" s="255"/>
      <c r="AA35" s="255"/>
      <c r="AB35" s="255"/>
      <c r="AC35" s="255"/>
      <c r="AD35" s="255"/>
      <c r="AE35" s="255"/>
    </row>
    <row r="36" spans="1:32" ht="45">
      <c r="A36" s="325"/>
      <c r="B36" s="1598"/>
      <c r="C36" s="1576"/>
      <c r="D36" s="326" t="s">
        <v>287</v>
      </c>
      <c r="E36" s="326" t="s">
        <v>288</v>
      </c>
      <c r="F36" s="326" t="s">
        <v>289</v>
      </c>
      <c r="G36" s="452" t="s">
        <v>287</v>
      </c>
      <c r="H36" s="452" t="s">
        <v>288</v>
      </c>
      <c r="I36" s="326" t="s">
        <v>290</v>
      </c>
      <c r="J36" s="452" t="s">
        <v>291</v>
      </c>
      <c r="K36" s="326" t="s">
        <v>292</v>
      </c>
      <c r="L36" s="326" t="s">
        <v>293</v>
      </c>
      <c r="M36" s="326" t="s">
        <v>294</v>
      </c>
      <c r="N36" s="1599"/>
      <c r="O36" s="1588"/>
      <c r="P36" s="1588"/>
      <c r="Q36" s="1588"/>
      <c r="R36" s="1599"/>
      <c r="S36" s="1599"/>
      <c r="T36" s="1608"/>
      <c r="U36" s="1591"/>
      <c r="V36" s="1593"/>
      <c r="W36" s="1593"/>
      <c r="X36" s="1593"/>
      <c r="Y36" s="1591"/>
      <c r="Z36" s="255"/>
      <c r="AA36" s="424"/>
      <c r="AB36" s="255"/>
      <c r="AC36" s="255"/>
      <c r="AD36" s="255"/>
      <c r="AE36" s="255"/>
    </row>
    <row r="37" spans="1:32" ht="15">
      <c r="A37" s="327" t="s">
        <v>356</v>
      </c>
      <c r="B37" s="328" t="str">
        <f>0&amp;6033</f>
        <v>06033</v>
      </c>
      <c r="C37" s="840" t="s">
        <v>296</v>
      </c>
      <c r="D37" s="329">
        <v>81</v>
      </c>
      <c r="E37" s="329">
        <v>50</v>
      </c>
      <c r="F37" s="448">
        <v>0</v>
      </c>
      <c r="G37" s="453">
        <f>D37*$B$9</f>
        <v>19.439999999999998</v>
      </c>
      <c r="H37" s="453">
        <f>E37*$C$9</f>
        <v>7.23</v>
      </c>
      <c r="I37" s="448">
        <v>0</v>
      </c>
      <c r="J37" s="453">
        <f>(G37+H37)*$E$9</f>
        <v>6.2914529999999997</v>
      </c>
      <c r="K37" s="330">
        <f>L37+M37</f>
        <v>7.87</v>
      </c>
      <c r="L37" s="330">
        <v>1.83</v>
      </c>
      <c r="M37" s="330">
        <v>6.04</v>
      </c>
      <c r="N37" s="448">
        <v>12.94</v>
      </c>
      <c r="O37" s="453">
        <f>(G37+H37+I37)*$H$9</f>
        <v>7.6196190000000001</v>
      </c>
      <c r="P37" s="453">
        <f>(G37+H37+I37)*$I$9</f>
        <v>0.53873399999999994</v>
      </c>
      <c r="Q37" s="453">
        <f>(G37+H37+I37)*$J$9</f>
        <v>0.85877399999999993</v>
      </c>
      <c r="R37" s="331">
        <f>G37+H37+I37+J37+K37+N37+O37+P37+Q37</f>
        <v>62.788579999999989</v>
      </c>
      <c r="S37" s="331">
        <v>4</v>
      </c>
      <c r="T37" s="332">
        <f t="shared" ref="T37:T56" si="17">R37-S37</f>
        <v>58.788579999999989</v>
      </c>
      <c r="U37" s="1603">
        <f>T37-T38</f>
        <v>7.4585799999999907</v>
      </c>
      <c r="V37" s="1607">
        <v>2500</v>
      </c>
      <c r="W37" s="1604">
        <v>1.5</v>
      </c>
      <c r="X37" s="1605">
        <f>V37*W37</f>
        <v>3750</v>
      </c>
      <c r="Y37" s="1601">
        <f>X37*T37</f>
        <v>220457.17499999996</v>
      </c>
      <c r="Z37" s="1600"/>
      <c r="AA37" s="1597"/>
      <c r="AB37" s="255"/>
      <c r="AC37" s="255"/>
      <c r="AD37" s="255"/>
      <c r="AE37" s="255"/>
    </row>
    <row r="38" spans="1:32" ht="15">
      <c r="A38" s="327" t="s">
        <v>357</v>
      </c>
      <c r="B38" s="336" t="str">
        <f>0&amp;6033</f>
        <v>06033</v>
      </c>
      <c r="C38" s="841" t="s">
        <v>296</v>
      </c>
      <c r="D38" s="337">
        <v>81</v>
      </c>
      <c r="E38" s="338">
        <v>50</v>
      </c>
      <c r="F38" s="339">
        <v>0</v>
      </c>
      <c r="G38" s="513">
        <f t="shared" ref="G38:G56" si="18">D38*$B$9</f>
        <v>19.439999999999998</v>
      </c>
      <c r="H38" s="513">
        <f t="shared" ref="H38:H56" si="19">E38*$C$9</f>
        <v>7.23</v>
      </c>
      <c r="I38" s="341">
        <v>0</v>
      </c>
      <c r="J38" s="513">
        <f t="shared" ref="J38:J56" si="20">(G38+H38)*$E$9</f>
        <v>6.2914529999999997</v>
      </c>
      <c r="K38" s="337">
        <v>0.86</v>
      </c>
      <c r="L38" s="338">
        <v>0</v>
      </c>
      <c r="M38" s="338">
        <v>0.86</v>
      </c>
      <c r="N38" s="339">
        <v>8.49</v>
      </c>
      <c r="O38" s="513">
        <f>(G38+H38+I38)*$H$9+4</f>
        <v>11.619619</v>
      </c>
      <c r="P38" s="513">
        <f t="shared" ref="P38:P56" si="21">(G38+H38+I38)*$I$9</f>
        <v>0.53873399999999994</v>
      </c>
      <c r="Q38" s="513">
        <f t="shared" ref="Q38:Q56" si="22">(G38+H38+I38)*$J$9</f>
        <v>0.85877399999999993</v>
      </c>
      <c r="R38" s="349">
        <f>G38+H38+I38+J38+K38+N38+O38+P38+Q38</f>
        <v>55.328579999999995</v>
      </c>
      <c r="S38" s="340">
        <v>4</v>
      </c>
      <c r="T38" s="349">
        <f>ROUND(R38-S38,2)</f>
        <v>51.33</v>
      </c>
      <c r="U38" s="1594"/>
      <c r="V38" s="1464"/>
      <c r="W38" s="1577"/>
      <c r="X38" s="1606"/>
      <c r="Y38" s="1602"/>
      <c r="Z38" s="1600"/>
      <c r="AA38" s="1597"/>
      <c r="AB38" s="255"/>
      <c r="AC38" s="255"/>
      <c r="AD38" s="255"/>
      <c r="AE38" s="255"/>
    </row>
    <row r="39" spans="1:32" ht="15">
      <c r="A39" s="327" t="s">
        <v>356</v>
      </c>
      <c r="B39" s="342" t="str">
        <f>0&amp;6015</f>
        <v>06015</v>
      </c>
      <c r="C39" s="327" t="s">
        <v>358</v>
      </c>
      <c r="D39" s="343">
        <v>75</v>
      </c>
      <c r="E39" s="343">
        <v>45</v>
      </c>
      <c r="F39" s="449">
        <v>0</v>
      </c>
      <c r="G39" s="453">
        <f t="shared" si="18"/>
        <v>18</v>
      </c>
      <c r="H39" s="453">
        <f t="shared" si="19"/>
        <v>6.5070000000000006</v>
      </c>
      <c r="I39" s="457">
        <v>0</v>
      </c>
      <c r="J39" s="453">
        <f t="shared" si="20"/>
        <v>5.7812013000000002</v>
      </c>
      <c r="K39" s="454">
        <f t="shared" ref="K39:K56" si="23">L39+M39</f>
        <v>6.38</v>
      </c>
      <c r="L39" s="343">
        <v>0.05</v>
      </c>
      <c r="M39" s="343">
        <v>6.33</v>
      </c>
      <c r="N39" s="449">
        <v>4.1399999999999997</v>
      </c>
      <c r="O39" s="453">
        <f t="shared" ref="O39:O56" si="24">(G39+H39+I39)*$H$9</f>
        <v>7.0016499000000003</v>
      </c>
      <c r="P39" s="453">
        <f t="shared" si="21"/>
        <v>0.49504140000000002</v>
      </c>
      <c r="Q39" s="453">
        <f t="shared" si="22"/>
        <v>0.78912540000000009</v>
      </c>
      <c r="R39" s="461">
        <f>G39+H39+I39+J39+K39+N39+O39+P39+Q39</f>
        <v>49.094017999999998</v>
      </c>
      <c r="S39" s="344">
        <v>4</v>
      </c>
      <c r="T39" s="345">
        <f t="shared" si="17"/>
        <v>45.094017999999998</v>
      </c>
      <c r="U39" s="1594">
        <f>T39-T40</f>
        <v>8.1650459999999967</v>
      </c>
      <c r="V39" s="1404">
        <v>500</v>
      </c>
      <c r="W39" s="1577">
        <v>1</v>
      </c>
      <c r="X39" s="1606">
        <f>W39*V39</f>
        <v>500</v>
      </c>
      <c r="Y39" s="1602">
        <f>X39*T39</f>
        <v>22547.008999999998</v>
      </c>
      <c r="Z39" s="1600"/>
      <c r="AA39" s="1596"/>
      <c r="AB39" s="255"/>
      <c r="AC39" s="255"/>
      <c r="AD39" s="255"/>
      <c r="AE39" s="255"/>
    </row>
    <row r="40" spans="1:32" ht="15">
      <c r="A40" s="327" t="s">
        <v>357</v>
      </c>
      <c r="B40" s="346" t="str">
        <f>0&amp;6015</f>
        <v>06015</v>
      </c>
      <c r="C40" s="347" t="s">
        <v>358</v>
      </c>
      <c r="D40" s="338">
        <v>71</v>
      </c>
      <c r="E40" s="338">
        <v>30</v>
      </c>
      <c r="F40" s="339">
        <v>0</v>
      </c>
      <c r="G40" s="513">
        <f t="shared" si="18"/>
        <v>17.04</v>
      </c>
      <c r="H40" s="513">
        <f t="shared" si="19"/>
        <v>4.3380000000000001</v>
      </c>
      <c r="I40" s="341">
        <v>0</v>
      </c>
      <c r="J40" s="513">
        <f t="shared" si="20"/>
        <v>5.0430701999999998</v>
      </c>
      <c r="K40" s="337">
        <f t="shared" si="23"/>
        <v>1.1299999999999999</v>
      </c>
      <c r="L40" s="338">
        <v>0</v>
      </c>
      <c r="M40" s="338">
        <v>1.1299999999999999</v>
      </c>
      <c r="N40" s="339">
        <v>2.15</v>
      </c>
      <c r="O40" s="513">
        <f>(G40+H40+I40)*$H$9+4</f>
        <v>10.1076946</v>
      </c>
      <c r="P40" s="513">
        <f t="shared" si="21"/>
        <v>0.43183559999999999</v>
      </c>
      <c r="Q40" s="513">
        <f t="shared" si="22"/>
        <v>0.68837159999999997</v>
      </c>
      <c r="R40" s="349">
        <f>G40+H40+J40+K40+N40+O40+P40+Q40</f>
        <v>40.928972000000002</v>
      </c>
      <c r="S40" s="348">
        <v>4</v>
      </c>
      <c r="T40" s="349">
        <f t="shared" si="17"/>
        <v>36.928972000000002</v>
      </c>
      <c r="U40" s="1595"/>
      <c r="V40" s="1405"/>
      <c r="W40" s="1577"/>
      <c r="X40" s="1606"/>
      <c r="Y40" s="1602"/>
      <c r="Z40" s="1600"/>
      <c r="AA40" s="1596"/>
      <c r="AB40" s="255"/>
      <c r="AC40" s="255"/>
      <c r="AD40" s="255"/>
      <c r="AE40" s="255"/>
    </row>
    <row r="41" spans="1:32" ht="30">
      <c r="A41" s="327" t="s">
        <v>359</v>
      </c>
      <c r="B41" s="342" t="s">
        <v>360</v>
      </c>
      <c r="C41" s="842" t="s">
        <v>361</v>
      </c>
      <c r="D41" s="350">
        <v>70</v>
      </c>
      <c r="E41" s="350">
        <v>0</v>
      </c>
      <c r="F41" s="334">
        <v>0</v>
      </c>
      <c r="G41" s="453">
        <f t="shared" si="18"/>
        <v>16.8</v>
      </c>
      <c r="H41" s="453">
        <f t="shared" si="19"/>
        <v>0</v>
      </c>
      <c r="I41" s="458">
        <v>0</v>
      </c>
      <c r="J41" s="453">
        <f t="shared" si="20"/>
        <v>3.96312</v>
      </c>
      <c r="K41" s="450">
        <f t="shared" si="23"/>
        <v>3.07</v>
      </c>
      <c r="L41" s="350">
        <v>0.05</v>
      </c>
      <c r="M41" s="350">
        <v>3.02</v>
      </c>
      <c r="N41" s="334">
        <v>4.1399999999999997</v>
      </c>
      <c r="O41" s="453">
        <f t="shared" si="24"/>
        <v>4.79976</v>
      </c>
      <c r="P41" s="453">
        <f t="shared" si="21"/>
        <v>0.33935999999999999</v>
      </c>
      <c r="Q41" s="453">
        <f t="shared" si="22"/>
        <v>0.54096</v>
      </c>
      <c r="R41" s="462">
        <f>G41+J41+K41+N41+O41+P41+Q41</f>
        <v>33.653199999999998</v>
      </c>
      <c r="S41" s="352">
        <v>4</v>
      </c>
      <c r="T41" s="353">
        <f t="shared" si="17"/>
        <v>29.653199999999998</v>
      </c>
      <c r="U41" s="333" t="s">
        <v>362</v>
      </c>
      <c r="V41" s="826">
        <v>500</v>
      </c>
      <c r="W41" s="826">
        <v>1</v>
      </c>
      <c r="X41" s="334">
        <f>W41*V41</f>
        <v>500</v>
      </c>
      <c r="Y41" s="335">
        <f>T41*X41</f>
        <v>14826.599999999999</v>
      </c>
      <c r="Z41" s="255"/>
      <c r="AA41" s="255"/>
      <c r="AB41" s="255"/>
      <c r="AC41" s="255"/>
      <c r="AD41" s="255"/>
      <c r="AE41" s="255"/>
    </row>
    <row r="42" spans="1:32" ht="30">
      <c r="A42" s="327" t="s">
        <v>356</v>
      </c>
      <c r="B42" s="354" t="str">
        <f>0&amp;6003</f>
        <v>06003</v>
      </c>
      <c r="C42" s="843" t="s">
        <v>363</v>
      </c>
      <c r="D42" s="322">
        <v>0</v>
      </c>
      <c r="E42" s="322">
        <v>15</v>
      </c>
      <c r="F42" s="373">
        <v>0</v>
      </c>
      <c r="G42" s="453">
        <f t="shared" si="18"/>
        <v>0</v>
      </c>
      <c r="H42" s="453">
        <f t="shared" si="19"/>
        <v>2.169</v>
      </c>
      <c r="I42" s="459">
        <v>0</v>
      </c>
      <c r="J42" s="453">
        <f t="shared" si="20"/>
        <v>0.51166710000000004</v>
      </c>
      <c r="K42" s="455">
        <f t="shared" si="23"/>
        <v>0.61</v>
      </c>
      <c r="L42" s="322">
        <v>0</v>
      </c>
      <c r="M42" s="322">
        <v>0.61</v>
      </c>
      <c r="N42" s="373">
        <v>0.48</v>
      </c>
      <c r="O42" s="453">
        <f t="shared" si="24"/>
        <v>0.61968330000000005</v>
      </c>
      <c r="P42" s="453">
        <f t="shared" si="21"/>
        <v>4.38138E-2</v>
      </c>
      <c r="Q42" s="453">
        <f t="shared" si="22"/>
        <v>6.9841799999999996E-2</v>
      </c>
      <c r="R42" s="463">
        <f>H42+J42+K42+N42+O42+P42+Q42</f>
        <v>4.5040059999999995</v>
      </c>
      <c r="S42" s="351">
        <v>2</v>
      </c>
      <c r="T42" s="356">
        <f t="shared" si="17"/>
        <v>2.5040059999999995</v>
      </c>
      <c r="U42" s="1594">
        <f>T42-T43</f>
        <v>0.67400599999999988</v>
      </c>
      <c r="V42" s="1406">
        <v>2500</v>
      </c>
      <c r="W42" s="1577">
        <v>2</v>
      </c>
      <c r="X42" s="1406">
        <f>W42*V42</f>
        <v>5000</v>
      </c>
      <c r="Y42" s="1602">
        <f>X42*T42</f>
        <v>12520.029999999997</v>
      </c>
      <c r="Z42" s="1600"/>
      <c r="AA42" s="1597"/>
      <c r="AB42" s="255"/>
      <c r="AC42" s="255"/>
      <c r="AD42" s="255"/>
      <c r="AE42" s="255"/>
    </row>
    <row r="43" spans="1:32" ht="30">
      <c r="A43" s="327" t="s">
        <v>357</v>
      </c>
      <c r="B43" s="342" t="str">
        <f>0&amp;6003</f>
        <v>06003</v>
      </c>
      <c r="C43" s="844" t="s">
        <v>363</v>
      </c>
      <c r="D43" s="323">
        <v>0</v>
      </c>
      <c r="E43" s="323">
        <v>6</v>
      </c>
      <c r="F43" s="357">
        <v>0</v>
      </c>
      <c r="G43" s="513">
        <f t="shared" si="18"/>
        <v>0</v>
      </c>
      <c r="H43" s="513">
        <f>ROUNDUP(E43*$C$9,2)</f>
        <v>0.87</v>
      </c>
      <c r="I43" s="456">
        <v>0</v>
      </c>
      <c r="J43" s="513">
        <f t="shared" si="20"/>
        <v>0.205233</v>
      </c>
      <c r="K43" s="365">
        <f t="shared" si="23"/>
        <v>0.09</v>
      </c>
      <c r="L43" s="323">
        <v>0</v>
      </c>
      <c r="M43" s="323">
        <v>0.09</v>
      </c>
      <c r="N43" s="357">
        <v>0.36</v>
      </c>
      <c r="O43" s="513">
        <f>ROUND((G43+H43+I43)*$H$9+2,2)</f>
        <v>2.25</v>
      </c>
      <c r="P43" s="513">
        <f t="shared" si="21"/>
        <v>1.7573999999999999E-2</v>
      </c>
      <c r="Q43" s="513">
        <f t="shared" si="22"/>
        <v>2.8014000000000001E-2</v>
      </c>
      <c r="R43" s="451">
        <f>ROUNDUP(H43+J43+K43+N43+O43+P43+Q43,2)</f>
        <v>3.8299999999999996</v>
      </c>
      <c r="S43" s="321">
        <v>2</v>
      </c>
      <c r="T43" s="357">
        <f t="shared" si="17"/>
        <v>1.8299999999999996</v>
      </c>
      <c r="U43" s="1595"/>
      <c r="V43" s="1464"/>
      <c r="W43" s="1577"/>
      <c r="X43" s="1464"/>
      <c r="Y43" s="1602"/>
      <c r="Z43" s="1600"/>
      <c r="AA43" s="1597"/>
      <c r="AB43" s="255"/>
      <c r="AC43" s="255"/>
      <c r="AD43" s="255"/>
      <c r="AE43" s="255"/>
    </row>
    <row r="44" spans="1:32" ht="30">
      <c r="A44" s="327" t="s">
        <v>357</v>
      </c>
      <c r="B44" s="358" t="str">
        <f>0&amp;6004</f>
        <v>06004</v>
      </c>
      <c r="C44" s="845" t="s">
        <v>364</v>
      </c>
      <c r="D44" s="323">
        <v>15</v>
      </c>
      <c r="E44" s="323">
        <v>0</v>
      </c>
      <c r="F44" s="357">
        <v>0</v>
      </c>
      <c r="G44" s="513">
        <f t="shared" si="18"/>
        <v>3.5999999999999996</v>
      </c>
      <c r="H44" s="513">
        <f t="shared" si="19"/>
        <v>0</v>
      </c>
      <c r="I44" s="456">
        <v>0</v>
      </c>
      <c r="J44" s="513">
        <f t="shared" si="20"/>
        <v>0.84923999999999988</v>
      </c>
      <c r="K44" s="365">
        <f t="shared" si="23"/>
        <v>0.39</v>
      </c>
      <c r="L44" s="323">
        <v>0</v>
      </c>
      <c r="M44" s="323">
        <v>0.39</v>
      </c>
      <c r="N44" s="460">
        <v>0</v>
      </c>
      <c r="O44" s="513">
        <f t="shared" si="24"/>
        <v>1.0285199999999999</v>
      </c>
      <c r="P44" s="513">
        <f t="shared" si="21"/>
        <v>7.2719999999999993E-2</v>
      </c>
      <c r="Q44" s="513">
        <f t="shared" si="22"/>
        <v>0.11591999999999998</v>
      </c>
      <c r="R44" s="464">
        <f>G44+J44+K44+N44+O44+P44+Q44</f>
        <v>6.0563999999999991</v>
      </c>
      <c r="S44" s="359">
        <v>0</v>
      </c>
      <c r="T44" s="360">
        <f t="shared" si="17"/>
        <v>6.0563999999999991</v>
      </c>
      <c r="U44" s="350" t="s">
        <v>362</v>
      </c>
      <c r="V44" s="334">
        <v>2500</v>
      </c>
      <c r="W44" s="826">
        <v>2</v>
      </c>
      <c r="X44" s="334">
        <f>W44*V44</f>
        <v>5000</v>
      </c>
      <c r="Y44" s="335">
        <f>X44*T44</f>
        <v>30281.999999999996</v>
      </c>
      <c r="Z44" s="255"/>
      <c r="AA44" s="255"/>
      <c r="AB44" s="255"/>
      <c r="AC44" s="255"/>
      <c r="AD44" s="255"/>
      <c r="AE44" s="255"/>
    </row>
    <row r="45" spans="1:32" ht="15">
      <c r="A45" s="327" t="s">
        <v>357</v>
      </c>
      <c r="B45" s="336" t="str">
        <f>0&amp;6021</f>
        <v>06021</v>
      </c>
      <c r="C45" s="347" t="s">
        <v>295</v>
      </c>
      <c r="D45" s="323">
        <v>36</v>
      </c>
      <c r="E45" s="323">
        <v>35</v>
      </c>
      <c r="F45" s="357">
        <v>0</v>
      </c>
      <c r="G45" s="513">
        <f t="shared" si="18"/>
        <v>8.64</v>
      </c>
      <c r="H45" s="513">
        <f t="shared" si="19"/>
        <v>5.0609999999999999</v>
      </c>
      <c r="I45" s="456">
        <v>0</v>
      </c>
      <c r="J45" s="513">
        <f t="shared" si="20"/>
        <v>3.2320659000000003</v>
      </c>
      <c r="K45" s="365">
        <f t="shared" si="23"/>
        <v>1.67</v>
      </c>
      <c r="L45" s="323">
        <v>0</v>
      </c>
      <c r="M45" s="323">
        <v>1.67</v>
      </c>
      <c r="N45" s="460">
        <v>3</v>
      </c>
      <c r="O45" s="513">
        <f>ROUND((G45+H45+I45)*$H$9+4,2)</f>
        <v>7.91</v>
      </c>
      <c r="P45" s="513">
        <f t="shared" si="21"/>
        <v>0.27676020000000001</v>
      </c>
      <c r="Q45" s="513">
        <f t="shared" si="22"/>
        <v>0.44117220000000001</v>
      </c>
      <c r="R45" s="464">
        <f>H45+J45+G45+K45+N45+O45+P45+Q45</f>
        <v>30.230998300000007</v>
      </c>
      <c r="S45" s="352">
        <v>4</v>
      </c>
      <c r="T45" s="360">
        <f t="shared" si="17"/>
        <v>26.230998300000007</v>
      </c>
      <c r="U45" s="1578">
        <f>T46-T45</f>
        <v>2.4502196999999875</v>
      </c>
      <c r="V45" s="1406">
        <v>250</v>
      </c>
      <c r="W45" s="1404">
        <v>1</v>
      </c>
      <c r="X45" s="1406">
        <f>W45*V45</f>
        <v>250</v>
      </c>
      <c r="Y45" s="1609">
        <f>X45*T46</f>
        <v>7170.3044999999984</v>
      </c>
      <c r="Z45" s="1610"/>
      <c r="AA45" s="1612"/>
      <c r="AB45" s="255"/>
      <c r="AC45" s="255"/>
      <c r="AD45" s="255"/>
      <c r="AE45" s="255"/>
    </row>
    <row r="46" spans="1:32" ht="15">
      <c r="A46" s="327" t="s">
        <v>356</v>
      </c>
      <c r="B46" s="336" t="str">
        <f>0&amp;6021</f>
        <v>06021</v>
      </c>
      <c r="C46" s="347" t="s">
        <v>295</v>
      </c>
      <c r="D46" s="323">
        <v>45</v>
      </c>
      <c r="E46" s="323">
        <v>45</v>
      </c>
      <c r="F46" s="357">
        <v>0</v>
      </c>
      <c r="G46" s="453">
        <f t="shared" si="18"/>
        <v>10.799999999999999</v>
      </c>
      <c r="H46" s="453">
        <f t="shared" si="19"/>
        <v>6.5070000000000006</v>
      </c>
      <c r="I46" s="456">
        <v>0</v>
      </c>
      <c r="J46" s="453">
        <f t="shared" si="20"/>
        <v>4.0827212999999993</v>
      </c>
      <c r="K46" s="365">
        <f t="shared" si="23"/>
        <v>3.2</v>
      </c>
      <c r="L46" s="323">
        <v>0.93</v>
      </c>
      <c r="M46" s="323">
        <v>2.27</v>
      </c>
      <c r="N46" s="460">
        <v>2.2400000000000002</v>
      </c>
      <c r="O46" s="453">
        <f t="shared" si="24"/>
        <v>4.9446098999999997</v>
      </c>
      <c r="P46" s="453">
        <f t="shared" si="21"/>
        <v>0.34960139999999995</v>
      </c>
      <c r="Q46" s="453">
        <f t="shared" si="22"/>
        <v>0.55728539999999993</v>
      </c>
      <c r="R46" s="464">
        <f>H46+J46+G46+K46+N46+O46+P46+Q46</f>
        <v>32.681217999999994</v>
      </c>
      <c r="S46" s="352">
        <v>4</v>
      </c>
      <c r="T46" s="360">
        <f t="shared" si="17"/>
        <v>28.681217999999994</v>
      </c>
      <c r="U46" s="1464"/>
      <c r="V46" s="1464"/>
      <c r="W46" s="1405"/>
      <c r="X46" s="1464"/>
      <c r="Y46" s="1601"/>
      <c r="Z46" s="1611"/>
      <c r="AA46" s="1613"/>
      <c r="AB46" s="255"/>
      <c r="AC46" s="255"/>
      <c r="AD46" s="255"/>
      <c r="AE46" s="255"/>
    </row>
    <row r="47" spans="1:32" ht="30">
      <c r="A47" s="347" t="s">
        <v>359</v>
      </c>
      <c r="B47" s="364" t="s">
        <v>365</v>
      </c>
      <c r="C47" s="845" t="s">
        <v>345</v>
      </c>
      <c r="D47" s="323">
        <v>20</v>
      </c>
      <c r="E47" s="323">
        <v>40</v>
      </c>
      <c r="F47" s="357">
        <v>0</v>
      </c>
      <c r="G47" s="480">
        <f t="shared" si="18"/>
        <v>4.8</v>
      </c>
      <c r="H47" s="480">
        <f t="shared" si="19"/>
        <v>5.7840000000000007</v>
      </c>
      <c r="I47" s="456">
        <v>0</v>
      </c>
      <c r="J47" s="480">
        <f t="shared" si="20"/>
        <v>2.4967655999999998</v>
      </c>
      <c r="K47" s="365">
        <f t="shared" si="23"/>
        <v>3.7600000000000002</v>
      </c>
      <c r="L47" s="323">
        <v>0.6</v>
      </c>
      <c r="M47" s="323">
        <v>3.16</v>
      </c>
      <c r="N47" s="357">
        <v>8.39</v>
      </c>
      <c r="O47" s="480">
        <f t="shared" si="24"/>
        <v>3.0238488000000001</v>
      </c>
      <c r="P47" s="480">
        <f t="shared" si="21"/>
        <v>0.21379679999999998</v>
      </c>
      <c r="Q47" s="480">
        <f t="shared" si="22"/>
        <v>0.34080479999999996</v>
      </c>
      <c r="R47" s="464">
        <f t="shared" ref="R47:R56" si="25">G47+H47+J47+K47+N47+O47+P47+Q47</f>
        <v>28.809216000000003</v>
      </c>
      <c r="S47" s="352">
        <v>4</v>
      </c>
      <c r="T47" s="360">
        <f t="shared" si="17"/>
        <v>24.809216000000003</v>
      </c>
      <c r="U47" s="323" t="s">
        <v>362</v>
      </c>
      <c r="V47" s="357">
        <v>375</v>
      </c>
      <c r="W47" s="829">
        <v>1</v>
      </c>
      <c r="X47" s="357">
        <f t="shared" ref="X47:X56" si="26">W47*V47</f>
        <v>375</v>
      </c>
      <c r="Y47" s="366">
        <f t="shared" ref="Y47:Y57" si="27">X47*T47</f>
        <v>9303.4560000000019</v>
      </c>
      <c r="Z47" s="363"/>
      <c r="AA47" s="367"/>
      <c r="AB47" s="255"/>
      <c r="AC47" s="255"/>
      <c r="AD47" s="255"/>
      <c r="AE47" s="255"/>
    </row>
    <row r="48" spans="1:32" ht="60">
      <c r="A48" s="516" t="s">
        <v>357</v>
      </c>
      <c r="B48" s="517">
        <v>60037</v>
      </c>
      <c r="C48" s="428" t="s">
        <v>366</v>
      </c>
      <c r="D48" s="430">
        <v>30</v>
      </c>
      <c r="E48" s="430">
        <v>10</v>
      </c>
      <c r="F48" s="430">
        <v>0</v>
      </c>
      <c r="G48" s="513">
        <f t="shared" si="18"/>
        <v>7.1999999999999993</v>
      </c>
      <c r="H48" s="513">
        <f t="shared" si="19"/>
        <v>1.4460000000000002</v>
      </c>
      <c r="I48" s="430">
        <v>0</v>
      </c>
      <c r="J48" s="513">
        <f t="shared" si="20"/>
        <v>2.0395913999999999</v>
      </c>
      <c r="K48" s="430">
        <f t="shared" si="23"/>
        <v>0</v>
      </c>
      <c r="L48" s="430">
        <v>0</v>
      </c>
      <c r="M48" s="430">
        <v>0</v>
      </c>
      <c r="N48" s="430">
        <v>0</v>
      </c>
      <c r="O48" s="513">
        <f t="shared" si="24"/>
        <v>2.4701621999999999</v>
      </c>
      <c r="P48" s="513">
        <f t="shared" si="21"/>
        <v>0.17464919999999998</v>
      </c>
      <c r="Q48" s="513">
        <f t="shared" si="22"/>
        <v>0.27840119999999996</v>
      </c>
      <c r="R48" s="429">
        <f t="shared" si="25"/>
        <v>13.608803999999999</v>
      </c>
      <c r="S48" s="430">
        <v>0</v>
      </c>
      <c r="T48" s="429">
        <f t="shared" si="17"/>
        <v>13.608803999999999</v>
      </c>
      <c r="U48" s="430" t="s">
        <v>362</v>
      </c>
      <c r="V48" s="430">
        <v>1250</v>
      </c>
      <c r="W48" s="830">
        <v>1</v>
      </c>
      <c r="X48" s="357">
        <f t="shared" si="26"/>
        <v>1250</v>
      </c>
      <c r="Y48" s="518">
        <f t="shared" si="27"/>
        <v>17011.004999999997</v>
      </c>
      <c r="Z48" s="368"/>
      <c r="AA48" s="369"/>
      <c r="AB48" s="255"/>
      <c r="AC48" s="255"/>
      <c r="AD48" s="255"/>
      <c r="AE48" s="255"/>
    </row>
    <row r="49" spans="1:32" ht="15">
      <c r="A49" s="516" t="s">
        <v>357</v>
      </c>
      <c r="B49" s="516" t="str">
        <f>0&amp;6068</f>
        <v>06068</v>
      </c>
      <c r="C49" s="428" t="s">
        <v>373</v>
      </c>
      <c r="D49" s="430">
        <v>40</v>
      </c>
      <c r="E49" s="430">
        <v>40</v>
      </c>
      <c r="F49" s="430">
        <v>0</v>
      </c>
      <c r="G49" s="453">
        <f t="shared" si="18"/>
        <v>9.6</v>
      </c>
      <c r="H49" s="453">
        <f t="shared" si="19"/>
        <v>5.7840000000000007</v>
      </c>
      <c r="I49" s="430">
        <v>0</v>
      </c>
      <c r="J49" s="453">
        <f t="shared" si="20"/>
        <v>3.6290856000000002</v>
      </c>
      <c r="K49" s="430">
        <f t="shared" si="23"/>
        <v>1.4</v>
      </c>
      <c r="L49" s="430">
        <v>0</v>
      </c>
      <c r="M49" s="430">
        <v>1.4</v>
      </c>
      <c r="N49" s="430">
        <v>1.42</v>
      </c>
      <c r="O49" s="453">
        <f t="shared" si="24"/>
        <v>4.3952087999999998</v>
      </c>
      <c r="P49" s="453">
        <f t="shared" si="21"/>
        <v>0.3107568</v>
      </c>
      <c r="Q49" s="453">
        <f t="shared" si="22"/>
        <v>0.49536479999999999</v>
      </c>
      <c r="R49" s="429">
        <f t="shared" si="25"/>
        <v>27.034415999999997</v>
      </c>
      <c r="S49" s="430">
        <v>0</v>
      </c>
      <c r="T49" s="429">
        <f t="shared" si="17"/>
        <v>27.034415999999997</v>
      </c>
      <c r="U49" s="430" t="s">
        <v>362</v>
      </c>
      <c r="V49" s="430">
        <v>500</v>
      </c>
      <c r="W49" s="830">
        <v>1</v>
      </c>
      <c r="X49" s="357">
        <f t="shared" si="26"/>
        <v>500</v>
      </c>
      <c r="Y49" s="518">
        <f t="shared" si="27"/>
        <v>13517.207999999999</v>
      </c>
      <c r="Z49" s="255"/>
      <c r="AA49" s="255"/>
      <c r="AB49" s="255"/>
      <c r="AC49" s="255"/>
      <c r="AD49" s="255"/>
      <c r="AE49" s="255"/>
    </row>
    <row r="50" spans="1:32" ht="30">
      <c r="A50" s="371" t="s">
        <v>357</v>
      </c>
      <c r="B50" s="371" t="str">
        <f>0&amp;6132</f>
        <v>06132</v>
      </c>
      <c r="C50" s="846" t="s">
        <v>374</v>
      </c>
      <c r="D50" s="322">
        <v>50</v>
      </c>
      <c r="E50" s="322">
        <v>30</v>
      </c>
      <c r="F50" s="373">
        <v>0</v>
      </c>
      <c r="G50" s="515">
        <f t="shared" si="18"/>
        <v>12</v>
      </c>
      <c r="H50" s="515">
        <f t="shared" si="19"/>
        <v>4.3380000000000001</v>
      </c>
      <c r="I50" s="459">
        <v>0</v>
      </c>
      <c r="J50" s="515">
        <f t="shared" si="20"/>
        <v>3.8541342000000003</v>
      </c>
      <c r="K50" s="455">
        <f t="shared" si="23"/>
        <v>0.56999999999999995</v>
      </c>
      <c r="L50" s="322">
        <v>0</v>
      </c>
      <c r="M50" s="322">
        <v>0.56999999999999995</v>
      </c>
      <c r="N50" s="373">
        <v>5.08</v>
      </c>
      <c r="O50" s="515">
        <f t="shared" si="24"/>
        <v>4.6677666000000002</v>
      </c>
      <c r="P50" s="515">
        <f t="shared" si="21"/>
        <v>0.33002760000000003</v>
      </c>
      <c r="Q50" s="515">
        <f t="shared" si="22"/>
        <v>0.52608359999999998</v>
      </c>
      <c r="R50" s="463">
        <f t="shared" si="25"/>
        <v>31.366012000000005</v>
      </c>
      <c r="S50" s="322">
        <v>0</v>
      </c>
      <c r="T50" s="355">
        <f t="shared" si="17"/>
        <v>31.366012000000005</v>
      </c>
      <c r="U50" s="322" t="s">
        <v>362</v>
      </c>
      <c r="V50" s="322">
        <v>1000</v>
      </c>
      <c r="W50" s="828">
        <v>3</v>
      </c>
      <c r="X50" s="357">
        <f t="shared" si="26"/>
        <v>3000</v>
      </c>
      <c r="Y50" s="362">
        <f t="shared" si="27"/>
        <v>94098.036000000022</v>
      </c>
      <c r="Z50" s="255"/>
      <c r="AA50" s="255"/>
      <c r="AB50" s="255"/>
      <c r="AC50" s="255"/>
      <c r="AD50" s="255"/>
      <c r="AE50" s="255"/>
    </row>
    <row r="51" spans="1:32" ht="30">
      <c r="A51" s="372" t="s">
        <v>357</v>
      </c>
      <c r="B51" s="372" t="str">
        <f>0&amp;6133</f>
        <v>06133</v>
      </c>
      <c r="C51" s="846" t="s">
        <v>375</v>
      </c>
      <c r="D51" s="322">
        <v>80</v>
      </c>
      <c r="E51" s="322">
        <v>40</v>
      </c>
      <c r="F51" s="373">
        <v>0</v>
      </c>
      <c r="G51" s="453">
        <f t="shared" si="18"/>
        <v>19.2</v>
      </c>
      <c r="H51" s="453">
        <f t="shared" si="19"/>
        <v>5.7840000000000007</v>
      </c>
      <c r="I51" s="459">
        <v>0</v>
      </c>
      <c r="J51" s="453">
        <f>ROUND((G51+H51)*$E$9,2)</f>
        <v>5.89</v>
      </c>
      <c r="K51" s="455">
        <f t="shared" si="23"/>
        <v>0.35</v>
      </c>
      <c r="L51" s="322">
        <v>0</v>
      </c>
      <c r="M51" s="322">
        <v>0.35</v>
      </c>
      <c r="N51" s="373">
        <v>7.06</v>
      </c>
      <c r="O51" s="453">
        <f>ROUND((G51+H51+I51)*$H$9,2)</f>
        <v>7.14</v>
      </c>
      <c r="P51" s="453">
        <f>ROUND((G51+H51+I51)*$I$9,2)</f>
        <v>0.5</v>
      </c>
      <c r="Q51" s="453">
        <f>ROUND((G51+H51+I51)*$J$9,2)</f>
        <v>0.8</v>
      </c>
      <c r="R51" s="463">
        <f t="shared" si="25"/>
        <v>46.724000000000004</v>
      </c>
      <c r="S51" s="322">
        <v>0</v>
      </c>
      <c r="T51" s="356">
        <f t="shared" si="17"/>
        <v>46.724000000000004</v>
      </c>
      <c r="U51" s="322" t="s">
        <v>362</v>
      </c>
      <c r="V51" s="322">
        <v>1000</v>
      </c>
      <c r="W51" s="828">
        <v>3</v>
      </c>
      <c r="X51" s="357">
        <f t="shared" si="26"/>
        <v>3000</v>
      </c>
      <c r="Y51" s="362">
        <f t="shared" si="27"/>
        <v>140172</v>
      </c>
      <c r="Z51" s="255"/>
      <c r="AA51" s="255"/>
      <c r="AB51" s="255"/>
      <c r="AC51" s="255"/>
      <c r="AD51" s="255"/>
      <c r="AE51" s="255"/>
    </row>
    <row r="52" spans="1:32" ht="30">
      <c r="A52" s="374" t="s">
        <v>357</v>
      </c>
      <c r="B52" s="374" t="str">
        <f>0&amp;6134</f>
        <v>06134</v>
      </c>
      <c r="C52" s="839" t="s">
        <v>376</v>
      </c>
      <c r="D52" s="350">
        <v>80</v>
      </c>
      <c r="E52" s="350">
        <v>40</v>
      </c>
      <c r="F52" s="334">
        <v>0</v>
      </c>
      <c r="G52" s="453">
        <f t="shared" si="18"/>
        <v>19.2</v>
      </c>
      <c r="H52" s="453">
        <f t="shared" si="19"/>
        <v>5.7840000000000007</v>
      </c>
      <c r="I52" s="458">
        <v>0</v>
      </c>
      <c r="J52" s="453">
        <f>ROUND((G52+H52)*$E$9,2)</f>
        <v>5.89</v>
      </c>
      <c r="K52" s="450">
        <f t="shared" si="23"/>
        <v>0.35</v>
      </c>
      <c r="L52" s="350">
        <v>0</v>
      </c>
      <c r="M52" s="350">
        <v>0.35</v>
      </c>
      <c r="N52" s="334">
        <v>7.06</v>
      </c>
      <c r="O52" s="453">
        <f>ROUND((G52+H52+I52)*$H$9,2)</f>
        <v>7.14</v>
      </c>
      <c r="P52" s="453">
        <f>ROUND((G52+H52+I52)*$I$9,2)</f>
        <v>0.5</v>
      </c>
      <c r="Q52" s="453">
        <f>ROUND((G52+H52+I52)*$J$9,2)</f>
        <v>0.8</v>
      </c>
      <c r="R52" s="462">
        <f t="shared" si="25"/>
        <v>46.724000000000004</v>
      </c>
      <c r="S52" s="350">
        <v>0</v>
      </c>
      <c r="T52" s="353">
        <f t="shared" si="17"/>
        <v>46.724000000000004</v>
      </c>
      <c r="U52" s="350" t="s">
        <v>362</v>
      </c>
      <c r="V52" s="350">
        <v>250</v>
      </c>
      <c r="W52" s="828">
        <v>3</v>
      </c>
      <c r="X52" s="357">
        <f t="shared" si="26"/>
        <v>750</v>
      </c>
      <c r="Y52" s="335">
        <f t="shared" si="27"/>
        <v>35043</v>
      </c>
      <c r="Z52" s="255"/>
      <c r="AA52" s="255"/>
      <c r="AB52" s="255"/>
      <c r="AC52" s="255"/>
      <c r="AD52" s="255"/>
      <c r="AE52" s="255"/>
    </row>
    <row r="53" spans="1:32" ht="30">
      <c r="A53" s="374" t="s">
        <v>357</v>
      </c>
      <c r="B53" s="374" t="str">
        <f>0&amp;6135</f>
        <v>06135</v>
      </c>
      <c r="C53" s="839" t="s">
        <v>377</v>
      </c>
      <c r="D53" s="350">
        <v>110</v>
      </c>
      <c r="E53" s="350">
        <v>30</v>
      </c>
      <c r="F53" s="334">
        <v>0</v>
      </c>
      <c r="G53" s="453">
        <f t="shared" si="18"/>
        <v>26.4</v>
      </c>
      <c r="H53" s="453">
        <f t="shared" si="19"/>
        <v>4.3380000000000001</v>
      </c>
      <c r="I53" s="458">
        <v>0</v>
      </c>
      <c r="J53" s="453">
        <f t="shared" si="20"/>
        <v>7.2510941999999998</v>
      </c>
      <c r="K53" s="450">
        <f t="shared" si="23"/>
        <v>0.6</v>
      </c>
      <c r="L53" s="350">
        <v>0</v>
      </c>
      <c r="M53" s="350">
        <v>0.6</v>
      </c>
      <c r="N53" s="334">
        <v>9.19</v>
      </c>
      <c r="O53" s="453">
        <f t="shared" si="24"/>
        <v>8.7818465999999997</v>
      </c>
      <c r="P53" s="453">
        <f t="shared" si="21"/>
        <v>0.6209076</v>
      </c>
      <c r="Q53" s="453">
        <f t="shared" si="22"/>
        <v>0.98976359999999997</v>
      </c>
      <c r="R53" s="462">
        <f t="shared" si="25"/>
        <v>58.171612000000003</v>
      </c>
      <c r="S53" s="350">
        <v>0</v>
      </c>
      <c r="T53" s="353">
        <f t="shared" si="17"/>
        <v>58.171612000000003</v>
      </c>
      <c r="U53" s="350" t="s">
        <v>362</v>
      </c>
      <c r="V53" s="350">
        <v>250</v>
      </c>
      <c r="W53" s="828">
        <v>3</v>
      </c>
      <c r="X53" s="357">
        <f t="shared" si="26"/>
        <v>750</v>
      </c>
      <c r="Y53" s="335">
        <f t="shared" si="27"/>
        <v>43628.709000000003</v>
      </c>
      <c r="Z53" s="255"/>
      <c r="AA53" s="255"/>
      <c r="AB53" s="255"/>
      <c r="AC53" s="255"/>
      <c r="AD53" s="255"/>
      <c r="AE53" s="255"/>
    </row>
    <row r="54" spans="1:32" ht="30">
      <c r="A54" s="374" t="s">
        <v>359</v>
      </c>
      <c r="B54" s="375" t="s">
        <v>378</v>
      </c>
      <c r="C54" s="843" t="s">
        <v>379</v>
      </c>
      <c r="D54" s="350">
        <v>30</v>
      </c>
      <c r="E54" s="350">
        <v>0</v>
      </c>
      <c r="F54" s="334">
        <v>0</v>
      </c>
      <c r="G54" s="453">
        <f t="shared" si="18"/>
        <v>7.1999999999999993</v>
      </c>
      <c r="H54" s="453">
        <f t="shared" si="19"/>
        <v>0</v>
      </c>
      <c r="I54" s="458">
        <v>0</v>
      </c>
      <c r="J54" s="453">
        <f t="shared" si="20"/>
        <v>1.6984799999999998</v>
      </c>
      <c r="K54" s="450">
        <f t="shared" si="23"/>
        <v>0</v>
      </c>
      <c r="L54" s="350">
        <v>0</v>
      </c>
      <c r="M54" s="350">
        <v>0</v>
      </c>
      <c r="N54" s="334">
        <v>0.11</v>
      </c>
      <c r="O54" s="453">
        <f t="shared" si="24"/>
        <v>2.0570399999999998</v>
      </c>
      <c r="P54" s="453">
        <f t="shared" si="21"/>
        <v>0.14543999999999999</v>
      </c>
      <c r="Q54" s="453">
        <f t="shared" si="22"/>
        <v>0.23183999999999996</v>
      </c>
      <c r="R54" s="462">
        <f t="shared" si="25"/>
        <v>11.4428</v>
      </c>
      <c r="S54" s="350">
        <v>0</v>
      </c>
      <c r="T54" s="353">
        <f t="shared" si="17"/>
        <v>11.4428</v>
      </c>
      <c r="U54" s="350" t="s">
        <v>362</v>
      </c>
      <c r="V54" s="350">
        <v>700</v>
      </c>
      <c r="W54" s="828">
        <v>3</v>
      </c>
      <c r="X54" s="357">
        <f t="shared" si="26"/>
        <v>2100</v>
      </c>
      <c r="Y54" s="335">
        <f t="shared" si="27"/>
        <v>24029.88</v>
      </c>
      <c r="Z54" s="255"/>
      <c r="AA54" s="255"/>
      <c r="AB54" s="255"/>
      <c r="AC54" s="255"/>
      <c r="AD54" s="255"/>
      <c r="AE54" s="255"/>
    </row>
    <row r="55" spans="1:32" ht="15">
      <c r="A55" s="376" t="s">
        <v>357</v>
      </c>
      <c r="B55" s="377" t="str">
        <f>0&amp;7024</f>
        <v>07024</v>
      </c>
      <c r="C55" s="347" t="s">
        <v>367</v>
      </c>
      <c r="D55" s="323">
        <v>20</v>
      </c>
      <c r="E55" s="323">
        <v>15</v>
      </c>
      <c r="F55" s="357">
        <v>0</v>
      </c>
      <c r="G55" s="453">
        <f>ROUND(D55*$B$9,2)</f>
        <v>4.8</v>
      </c>
      <c r="H55" s="453">
        <f>ROUND(E55*$C$9,2)</f>
        <v>2.17</v>
      </c>
      <c r="I55" s="456">
        <v>0</v>
      </c>
      <c r="J55" s="453">
        <f>ROUND((G55+H55)*$E$9,2)</f>
        <v>1.64</v>
      </c>
      <c r="K55" s="365">
        <f t="shared" si="23"/>
        <v>0.03</v>
      </c>
      <c r="L55" s="323">
        <v>0</v>
      </c>
      <c r="M55" s="323">
        <v>0.03</v>
      </c>
      <c r="N55" s="357">
        <v>0</v>
      </c>
      <c r="O55" s="453">
        <f>ROUND((G55+H55+I55)*$H$9,2)</f>
        <v>1.99</v>
      </c>
      <c r="P55" s="453">
        <f>ROUND((G55+H55+I55)*$I$9,2)</f>
        <v>0.14000000000000001</v>
      </c>
      <c r="Q55" s="453">
        <f>ROUND((G55+H55+I55)*$J$9,2)</f>
        <v>0.22</v>
      </c>
      <c r="R55" s="464">
        <f>ROUND(G55+H55+J55+K55+N55+O55+P55+Q55,2)</f>
        <v>10.99</v>
      </c>
      <c r="S55" s="323">
        <v>0</v>
      </c>
      <c r="T55" s="360">
        <f t="shared" si="17"/>
        <v>10.99</v>
      </c>
      <c r="U55" s="323" t="s">
        <v>362</v>
      </c>
      <c r="V55" s="323">
        <v>125</v>
      </c>
      <c r="W55" s="827">
        <v>1</v>
      </c>
      <c r="X55" s="357">
        <f t="shared" si="26"/>
        <v>125</v>
      </c>
      <c r="Y55" s="361">
        <f t="shared" si="27"/>
        <v>1373.75</v>
      </c>
      <c r="Z55" s="255"/>
      <c r="AA55" s="255"/>
      <c r="AB55" s="255"/>
      <c r="AC55" s="255"/>
      <c r="AD55" s="255"/>
      <c r="AE55" s="255"/>
    </row>
    <row r="56" spans="1:32" ht="45">
      <c r="A56" s="347" t="s">
        <v>359</v>
      </c>
      <c r="B56" s="347" t="s">
        <v>380</v>
      </c>
      <c r="C56" s="844" t="s">
        <v>381</v>
      </c>
      <c r="D56" s="323">
        <v>0</v>
      </c>
      <c r="E56" s="323">
        <v>0</v>
      </c>
      <c r="F56" s="357">
        <v>0</v>
      </c>
      <c r="G56" s="480">
        <f t="shared" si="18"/>
        <v>0</v>
      </c>
      <c r="H56" s="480">
        <f t="shared" si="19"/>
        <v>0</v>
      </c>
      <c r="I56" s="456">
        <v>0</v>
      </c>
      <c r="J56" s="480">
        <f t="shared" si="20"/>
        <v>0</v>
      </c>
      <c r="K56" s="365">
        <f t="shared" si="23"/>
        <v>895</v>
      </c>
      <c r="L56" s="323">
        <v>0</v>
      </c>
      <c r="M56" s="323">
        <v>895</v>
      </c>
      <c r="N56" s="357">
        <v>0</v>
      </c>
      <c r="O56" s="480">
        <f t="shared" si="24"/>
        <v>0</v>
      </c>
      <c r="P56" s="480">
        <f t="shared" si="21"/>
        <v>0</v>
      </c>
      <c r="Q56" s="480">
        <f t="shared" si="22"/>
        <v>0</v>
      </c>
      <c r="R56" s="464">
        <f t="shared" si="25"/>
        <v>895</v>
      </c>
      <c r="S56" s="323">
        <v>0</v>
      </c>
      <c r="T56" s="352">
        <f t="shared" si="17"/>
        <v>895</v>
      </c>
      <c r="U56" s="347" t="s">
        <v>362</v>
      </c>
      <c r="V56" s="323">
        <v>50</v>
      </c>
      <c r="W56" s="827">
        <v>1</v>
      </c>
      <c r="X56" s="357">
        <f t="shared" si="26"/>
        <v>50</v>
      </c>
      <c r="Y56" s="481">
        <f t="shared" si="27"/>
        <v>44750</v>
      </c>
      <c r="Z56" s="255"/>
      <c r="AA56" s="255"/>
      <c r="AB56" s="255"/>
      <c r="AC56" s="255"/>
      <c r="AD56" s="255"/>
      <c r="AE56" s="255"/>
    </row>
    <row r="57" spans="1:32" ht="15">
      <c r="A57" s="520"/>
      <c r="B57" s="250"/>
      <c r="C57" s="807" t="s">
        <v>382</v>
      </c>
      <c r="D57" s="427"/>
      <c r="E57" s="427"/>
      <c r="F57" s="427"/>
      <c r="G57" s="427"/>
      <c r="H57" s="514"/>
      <c r="I57" s="427"/>
      <c r="J57" s="427"/>
      <c r="K57" s="427"/>
      <c r="L57" s="427"/>
      <c r="M57" s="427"/>
      <c r="N57" s="427"/>
      <c r="O57" s="427"/>
      <c r="P57" s="427"/>
      <c r="Q57" s="427"/>
      <c r="R57" s="427"/>
      <c r="S57" s="427"/>
      <c r="T57" s="427">
        <v>26.68</v>
      </c>
      <c r="U57" s="427"/>
      <c r="V57" s="430">
        <v>2500</v>
      </c>
      <c r="W57" s="832">
        <v>3</v>
      </c>
      <c r="X57" s="350">
        <f>W57*V57</f>
        <v>7500</v>
      </c>
      <c r="Y57" s="825">
        <f t="shared" si="27"/>
        <v>200100</v>
      </c>
      <c r="Z57" s="255"/>
      <c r="AA57" s="255"/>
      <c r="AB57" s="255"/>
      <c r="AC57" s="255"/>
      <c r="AD57" s="255"/>
      <c r="AE57" s="255"/>
    </row>
    <row r="58" spans="1:32" ht="15">
      <c r="A58" s="255" t="s">
        <v>369</v>
      </c>
      <c r="B58" s="255"/>
      <c r="C58" s="255"/>
      <c r="D58" s="255"/>
      <c r="E58" s="255"/>
      <c r="F58" s="255"/>
      <c r="G58" s="255"/>
      <c r="H58" s="255"/>
      <c r="I58" s="255"/>
      <c r="J58" s="255"/>
      <c r="K58" s="255"/>
      <c r="L58" s="255"/>
      <c r="M58" s="255"/>
      <c r="N58" s="255"/>
      <c r="O58" s="255"/>
      <c r="P58" s="255"/>
      <c r="Q58" s="255"/>
      <c r="R58" s="255"/>
      <c r="S58" s="255"/>
      <c r="T58" s="255"/>
      <c r="U58" s="255"/>
      <c r="X58" s="847" t="s">
        <v>370</v>
      </c>
      <c r="Y58" s="482">
        <f>SUM(Y37:Y57)</f>
        <v>930830.16249999998</v>
      </c>
      <c r="Z58" s="255"/>
      <c r="AA58" s="255"/>
      <c r="AB58" s="255"/>
      <c r="AC58" s="255"/>
      <c r="AD58" s="255"/>
      <c r="AE58" s="255"/>
    </row>
    <row r="59" spans="1:32" ht="15">
      <c r="A59" s="255" t="s">
        <v>371</v>
      </c>
      <c r="B59" s="255"/>
      <c r="C59" s="255"/>
      <c r="D59" s="255"/>
      <c r="E59" s="255"/>
      <c r="F59" s="255"/>
      <c r="G59" s="255"/>
      <c r="H59" s="255"/>
      <c r="I59" s="255"/>
      <c r="J59" s="255"/>
      <c r="K59" s="255"/>
      <c r="L59" s="255"/>
      <c r="M59" s="255"/>
      <c r="N59" s="255"/>
      <c r="O59" s="255"/>
      <c r="P59" s="255"/>
      <c r="Q59" s="255"/>
      <c r="R59" s="255"/>
      <c r="S59" s="255"/>
      <c r="T59" s="255"/>
      <c r="U59" s="255"/>
      <c r="X59" s="847" t="s">
        <v>383</v>
      </c>
      <c r="Y59" s="482">
        <f>Y58/5</f>
        <v>186166.0325</v>
      </c>
      <c r="Z59" s="255"/>
      <c r="AA59" s="255"/>
      <c r="AB59" s="255"/>
      <c r="AC59" s="255"/>
      <c r="AD59" s="255"/>
      <c r="AE59" s="255"/>
    </row>
    <row r="60" spans="1:32" ht="15">
      <c r="A60" s="255"/>
      <c r="B60" s="255"/>
      <c r="C60" s="255"/>
      <c r="D60" s="255"/>
      <c r="E60" s="255"/>
      <c r="F60" s="255"/>
      <c r="G60" s="255"/>
      <c r="H60" s="255"/>
      <c r="I60" s="255"/>
      <c r="J60" s="255"/>
      <c r="K60" s="255"/>
      <c r="L60" s="255"/>
      <c r="M60" s="255"/>
      <c r="N60" s="255"/>
      <c r="O60" s="255"/>
      <c r="P60" s="255"/>
      <c r="Q60" s="255"/>
      <c r="R60" s="255"/>
      <c r="S60" s="255"/>
      <c r="T60" s="255"/>
      <c r="U60" s="255"/>
      <c r="X60" s="847"/>
      <c r="Y60" s="809"/>
      <c r="Z60" s="255"/>
      <c r="AA60" s="255"/>
      <c r="AB60" s="255"/>
      <c r="AC60" s="255"/>
      <c r="AD60" s="255"/>
      <c r="AE60" s="255"/>
    </row>
    <row r="61" spans="1:32" ht="15">
      <c r="A61" s="255"/>
      <c r="B61" s="255"/>
      <c r="C61" s="255"/>
      <c r="D61" s="255"/>
      <c r="E61" s="255"/>
      <c r="F61" s="255"/>
      <c r="G61" s="255"/>
      <c r="H61" s="255"/>
      <c r="I61" s="255"/>
      <c r="J61" s="255"/>
      <c r="K61" s="255"/>
      <c r="L61" s="255"/>
      <c r="M61" s="255"/>
      <c r="N61" s="255"/>
      <c r="O61" s="255"/>
      <c r="P61" s="255"/>
      <c r="Q61" s="255"/>
      <c r="R61" s="255"/>
      <c r="S61" s="255"/>
      <c r="T61" s="255"/>
      <c r="U61" s="255"/>
      <c r="Z61" s="255"/>
      <c r="AA61" s="255"/>
      <c r="AB61" s="255"/>
      <c r="AC61" s="255"/>
      <c r="AD61" s="255"/>
      <c r="AE61" s="255"/>
    </row>
    <row r="62" spans="1:32" ht="15.75">
      <c r="A62" s="940" t="s">
        <v>696</v>
      </c>
      <c r="B62" s="255"/>
      <c r="C62" s="255"/>
      <c r="D62" s="255"/>
      <c r="E62" s="255"/>
      <c r="F62" s="255"/>
      <c r="G62" s="255"/>
      <c r="H62" s="255"/>
      <c r="I62" s="255"/>
      <c r="J62" s="255"/>
      <c r="K62" s="255"/>
      <c r="L62" s="255"/>
      <c r="M62" s="255"/>
      <c r="N62" s="255"/>
      <c r="O62" s="255"/>
      <c r="P62" s="255"/>
      <c r="Q62" s="255"/>
      <c r="R62" s="255"/>
      <c r="S62" s="255"/>
      <c r="T62" s="255"/>
      <c r="U62" s="255"/>
      <c r="V62" s="255"/>
      <c r="W62" s="255"/>
      <c r="X62" s="255"/>
      <c r="Y62" s="255"/>
      <c r="Z62" s="255"/>
      <c r="AA62" s="255"/>
      <c r="AB62" s="255"/>
      <c r="AC62" s="255"/>
      <c r="AD62" s="255"/>
      <c r="AE62" s="255"/>
      <c r="AF62" s="255"/>
    </row>
    <row r="63" spans="1:32" ht="15" customHeight="1">
      <c r="A63" s="1582"/>
      <c r="B63" s="1575" t="s">
        <v>183</v>
      </c>
      <c r="C63" s="1575" t="s">
        <v>182</v>
      </c>
      <c r="D63" s="1585" t="s">
        <v>276</v>
      </c>
      <c r="E63" s="1585"/>
      <c r="F63" s="1585"/>
      <c r="G63" s="1585"/>
      <c r="H63" s="1585"/>
      <c r="I63" s="1585"/>
      <c r="J63" s="1585"/>
      <c r="K63" s="1585"/>
      <c r="L63" s="1585"/>
      <c r="M63" s="1586"/>
      <c r="N63" s="1585" t="s">
        <v>31</v>
      </c>
      <c r="O63" s="1585"/>
      <c r="P63" s="1585"/>
      <c r="Q63" s="1586"/>
      <c r="R63" s="1587" t="s">
        <v>277</v>
      </c>
      <c r="S63" s="1587" t="s">
        <v>343</v>
      </c>
      <c r="T63" s="1589" t="s">
        <v>184</v>
      </c>
      <c r="U63" s="1591" t="s">
        <v>351</v>
      </c>
      <c r="V63" s="1593" t="s">
        <v>203</v>
      </c>
      <c r="W63" s="1579" t="s">
        <v>384</v>
      </c>
      <c r="X63" s="1579" t="s">
        <v>354</v>
      </c>
      <c r="Y63" s="1591" t="s">
        <v>355</v>
      </c>
      <c r="AA63" s="255"/>
      <c r="AB63" s="255"/>
      <c r="AC63" s="255"/>
      <c r="AD63" s="255"/>
      <c r="AE63" s="255"/>
      <c r="AF63" s="255"/>
    </row>
    <row r="64" spans="1:32" ht="60">
      <c r="A64" s="1583"/>
      <c r="B64" s="1576"/>
      <c r="C64" s="1576"/>
      <c r="D64" s="1585" t="s">
        <v>279</v>
      </c>
      <c r="E64" s="1585"/>
      <c r="F64" s="1586"/>
      <c r="G64" s="1585" t="s">
        <v>280</v>
      </c>
      <c r="H64" s="1585"/>
      <c r="I64" s="1586"/>
      <c r="J64" s="326" t="s">
        <v>281</v>
      </c>
      <c r="K64" s="1585" t="s">
        <v>282</v>
      </c>
      <c r="L64" s="1585"/>
      <c r="M64" s="1586"/>
      <c r="N64" s="1588" t="s">
        <v>283</v>
      </c>
      <c r="O64" s="1588" t="s">
        <v>284</v>
      </c>
      <c r="P64" s="1588" t="s">
        <v>285</v>
      </c>
      <c r="Q64" s="1588" t="s">
        <v>286</v>
      </c>
      <c r="R64" s="1588"/>
      <c r="S64" s="1588"/>
      <c r="T64" s="1590"/>
      <c r="U64" s="1591"/>
      <c r="V64" s="1593"/>
      <c r="W64" s="1580"/>
      <c r="X64" s="1580"/>
      <c r="Y64" s="1591"/>
      <c r="AA64" s="255"/>
      <c r="AB64" s="255"/>
      <c r="AC64" s="255"/>
      <c r="AD64" s="255"/>
      <c r="AE64" s="255"/>
      <c r="AF64" s="255"/>
    </row>
    <row r="65" spans="1:32" ht="45">
      <c r="A65" s="1584"/>
      <c r="B65" s="1576"/>
      <c r="C65" s="1576"/>
      <c r="D65" s="452" t="s">
        <v>287</v>
      </c>
      <c r="E65" s="452" t="s">
        <v>288</v>
      </c>
      <c r="F65" s="452" t="s">
        <v>289</v>
      </c>
      <c r="G65" s="452" t="s">
        <v>287</v>
      </c>
      <c r="H65" s="452" t="s">
        <v>288</v>
      </c>
      <c r="I65" s="452" t="s">
        <v>290</v>
      </c>
      <c r="J65" s="452" t="s">
        <v>291</v>
      </c>
      <c r="K65" s="452" t="s">
        <v>292</v>
      </c>
      <c r="L65" s="452" t="s">
        <v>293</v>
      </c>
      <c r="M65" s="452" t="s">
        <v>294</v>
      </c>
      <c r="N65" s="1588"/>
      <c r="O65" s="1588"/>
      <c r="P65" s="1588"/>
      <c r="Q65" s="1588"/>
      <c r="R65" s="1588"/>
      <c r="S65" s="1588"/>
      <c r="T65" s="1590"/>
      <c r="U65" s="1592"/>
      <c r="V65" s="1579"/>
      <c r="W65" s="1581"/>
      <c r="X65" s="1581"/>
      <c r="Y65" s="1592"/>
      <c r="AA65" s="255"/>
      <c r="AB65" s="424"/>
      <c r="AC65" s="255"/>
      <c r="AD65" s="255"/>
      <c r="AE65" s="255"/>
      <c r="AF65" s="255"/>
    </row>
    <row r="66" spans="1:32" ht="30">
      <c r="A66" s="516" t="s">
        <v>357</v>
      </c>
      <c r="B66" s="517" t="str">
        <f>0&amp;6102</f>
        <v>06102</v>
      </c>
      <c r="C66" s="428" t="s">
        <v>385</v>
      </c>
      <c r="D66" s="430">
        <v>40</v>
      </c>
      <c r="E66" s="430">
        <v>0</v>
      </c>
      <c r="F66" s="430">
        <v>0</v>
      </c>
      <c r="G66" s="431">
        <f>D66*B9</f>
        <v>9.6</v>
      </c>
      <c r="H66" s="431">
        <v>0</v>
      </c>
      <c r="I66" s="430">
        <v>0</v>
      </c>
      <c r="J66" s="431">
        <f>ROUNDDOWN((G66+H66)*E9,2)</f>
        <v>2.2599999999999998</v>
      </c>
      <c r="K66" s="431">
        <f t="shared" ref="K66" si="28">L66+M66</f>
        <v>0.97</v>
      </c>
      <c r="L66" s="430">
        <v>0</v>
      </c>
      <c r="M66" s="430">
        <v>0.97</v>
      </c>
      <c r="N66" s="430">
        <v>11.81</v>
      </c>
      <c r="O66" s="431">
        <f>ROUNDDOWN((G66+H66)*H9+4,2)</f>
        <v>6.74</v>
      </c>
      <c r="P66" s="431">
        <f>(G66+H66)*I9</f>
        <v>0.19391999999999998</v>
      </c>
      <c r="Q66" s="431">
        <f>(G66+H66)*J9</f>
        <v>0.30912000000000001</v>
      </c>
      <c r="R66" s="429">
        <f t="shared" ref="R66" si="29">G66+H66+J66+K66+N66+O66+P66+Q66</f>
        <v>31.883040000000001</v>
      </c>
      <c r="S66" s="430">
        <v>4</v>
      </c>
      <c r="T66" s="429">
        <f t="shared" ref="T66" si="30">R66-S66</f>
        <v>27.883040000000001</v>
      </c>
      <c r="U66" s="430" t="s">
        <v>362</v>
      </c>
      <c r="V66" s="430">
        <v>5000</v>
      </c>
      <c r="W66" s="430">
        <v>1</v>
      </c>
      <c r="X66" s="430">
        <f>V66*W66</f>
        <v>5000</v>
      </c>
      <c r="Y66" s="518">
        <f>X66*T66</f>
        <v>139415.20000000001</v>
      </c>
      <c r="AA66" s="370"/>
      <c r="AB66" s="370"/>
      <c r="AC66" s="255"/>
      <c r="AD66" s="255"/>
      <c r="AE66" s="255"/>
      <c r="AF66" s="255"/>
    </row>
    <row r="67" spans="1:32" ht="15">
      <c r="A67" s="516"/>
      <c r="B67" s="516"/>
      <c r="C67" s="428" t="s">
        <v>386</v>
      </c>
      <c r="D67" s="808"/>
      <c r="E67" s="808"/>
      <c r="F67" s="808"/>
      <c r="G67" s="431"/>
      <c r="H67" s="431"/>
      <c r="I67" s="808"/>
      <c r="J67" s="431"/>
      <c r="K67" s="808"/>
      <c r="L67" s="808"/>
      <c r="M67" s="808"/>
      <c r="N67" s="808"/>
      <c r="O67" s="431"/>
      <c r="P67" s="431"/>
      <c r="Q67" s="431"/>
      <c r="R67" s="429"/>
      <c r="S67" s="808"/>
      <c r="T67" s="429">
        <v>27.52</v>
      </c>
      <c r="U67" s="430"/>
      <c r="V67" s="808">
        <v>5000</v>
      </c>
      <c r="W67" s="808">
        <v>1</v>
      </c>
      <c r="X67" s="430">
        <f>V67*W67</f>
        <v>5000</v>
      </c>
      <c r="Y67" s="518">
        <f>T67*X67</f>
        <v>137600</v>
      </c>
      <c r="AA67" s="255"/>
      <c r="AB67" s="255"/>
      <c r="AC67" s="255"/>
      <c r="AD67" s="255"/>
      <c r="AE67" s="255"/>
      <c r="AF67" s="255"/>
    </row>
    <row r="68" spans="1:32" ht="15">
      <c r="V68" s="635"/>
      <c r="X68" s="848" t="s">
        <v>370</v>
      </c>
      <c r="Y68" s="849">
        <f>SUM(Y66:Y67)</f>
        <v>277015.2</v>
      </c>
    </row>
    <row r="69" spans="1:32" ht="15">
      <c r="A69" s="255"/>
      <c r="B69" s="255"/>
      <c r="C69" s="255"/>
      <c r="D69" s="255"/>
      <c r="E69" s="255"/>
      <c r="F69" s="255"/>
      <c r="G69" s="255"/>
      <c r="H69" s="255"/>
      <c r="I69" s="255"/>
      <c r="J69" s="255"/>
      <c r="K69" s="255"/>
      <c r="L69" s="255"/>
      <c r="M69" s="255"/>
      <c r="N69" s="255"/>
      <c r="O69" s="255"/>
      <c r="X69" s="848" t="s">
        <v>372</v>
      </c>
      <c r="Y69" s="849">
        <f>Y68/5</f>
        <v>55403.040000000001</v>
      </c>
    </row>
  </sheetData>
  <mergeCells count="117">
    <mergeCell ref="P64:P65"/>
    <mergeCell ref="Q64:Q65"/>
    <mergeCell ref="Z16:Z17"/>
    <mergeCell ref="AA16:AA17"/>
    <mergeCell ref="D35:F35"/>
    <mergeCell ref="W13:W15"/>
    <mergeCell ref="X13:X15"/>
    <mergeCell ref="Y13:Y15"/>
    <mergeCell ref="Z18:Z19"/>
    <mergeCell ref="AA18:AA19"/>
    <mergeCell ref="U21:U22"/>
    <mergeCell ref="W21:W22"/>
    <mergeCell ref="X21:X22"/>
    <mergeCell ref="Y21:Y22"/>
    <mergeCell ref="Z21:Z22"/>
    <mergeCell ref="AA21:AA22"/>
    <mergeCell ref="U18:U19"/>
    <mergeCell ref="W18:W19"/>
    <mergeCell ref="X18:X19"/>
    <mergeCell ref="Y18:Y19"/>
    <mergeCell ref="U16:U17"/>
    <mergeCell ref="W16:W17"/>
    <mergeCell ref="X16:X17"/>
    <mergeCell ref="V13:V15"/>
    <mergeCell ref="V18:V19"/>
    <mergeCell ref="V21:V22"/>
    <mergeCell ref="Y16:Y17"/>
    <mergeCell ref="H7:H8"/>
    <mergeCell ref="I7:I8"/>
    <mergeCell ref="J7:J8"/>
    <mergeCell ref="B13:B15"/>
    <mergeCell ref="C13:C15"/>
    <mergeCell ref="D13:M13"/>
    <mergeCell ref="D14:F14"/>
    <mergeCell ref="G14:I14"/>
    <mergeCell ref="K14:M14"/>
    <mergeCell ref="N13:Q13"/>
    <mergeCell ref="R13:R15"/>
    <mergeCell ref="S13:S15"/>
    <mergeCell ref="T13:T15"/>
    <mergeCell ref="U13:U15"/>
    <mergeCell ref="N14:N15"/>
    <mergeCell ref="O14:O15"/>
    <mergeCell ref="P14:P15"/>
    <mergeCell ref="Q14:Q15"/>
    <mergeCell ref="V16:V17"/>
    <mergeCell ref="Z24:Z25"/>
    <mergeCell ref="AA24:AA25"/>
    <mergeCell ref="U24:U25"/>
    <mergeCell ref="W24:W25"/>
    <mergeCell ref="X24:X25"/>
    <mergeCell ref="Y24:Y25"/>
    <mergeCell ref="W34:W36"/>
    <mergeCell ref="X34:X36"/>
    <mergeCell ref="Y34:Y36"/>
    <mergeCell ref="R34:R36"/>
    <mergeCell ref="S34:S36"/>
    <mergeCell ref="T34:T36"/>
    <mergeCell ref="U34:U36"/>
    <mergeCell ref="Y45:Y46"/>
    <mergeCell ref="Z45:Z46"/>
    <mergeCell ref="AA45:AA46"/>
    <mergeCell ref="O35:O36"/>
    <mergeCell ref="P35:P36"/>
    <mergeCell ref="AA37:AA38"/>
    <mergeCell ref="V39:V40"/>
    <mergeCell ref="W39:W40"/>
    <mergeCell ref="X39:X40"/>
    <mergeCell ref="Y39:Y40"/>
    <mergeCell ref="Y63:Y65"/>
    <mergeCell ref="V24:V25"/>
    <mergeCell ref="V34:V36"/>
    <mergeCell ref="U39:U40"/>
    <mergeCell ref="AA39:AA40"/>
    <mergeCell ref="U42:U43"/>
    <mergeCell ref="AA42:AA43"/>
    <mergeCell ref="B34:B36"/>
    <mergeCell ref="C34:C36"/>
    <mergeCell ref="D34:M34"/>
    <mergeCell ref="N34:Q34"/>
    <mergeCell ref="G35:I35"/>
    <mergeCell ref="K35:M35"/>
    <mergeCell ref="N35:N36"/>
    <mergeCell ref="Z39:Z40"/>
    <mergeCell ref="Y37:Y38"/>
    <mergeCell ref="Z37:Z38"/>
    <mergeCell ref="Q35:Q36"/>
    <mergeCell ref="U37:U38"/>
    <mergeCell ref="W37:W38"/>
    <mergeCell ref="X37:X38"/>
    <mergeCell ref="Y42:Y43"/>
    <mergeCell ref="Z42:Z43"/>
    <mergeCell ref="V37:V38"/>
    <mergeCell ref="B63:B65"/>
    <mergeCell ref="W42:W43"/>
    <mergeCell ref="X42:X43"/>
    <mergeCell ref="U45:U46"/>
    <mergeCell ref="X63:X65"/>
    <mergeCell ref="V42:V43"/>
    <mergeCell ref="W63:W65"/>
    <mergeCell ref="V45:V46"/>
    <mergeCell ref="A63:A65"/>
    <mergeCell ref="W45:W46"/>
    <mergeCell ref="X45:X46"/>
    <mergeCell ref="C63:C65"/>
    <mergeCell ref="D63:M63"/>
    <mergeCell ref="N63:Q63"/>
    <mergeCell ref="R63:R65"/>
    <mergeCell ref="S63:S65"/>
    <mergeCell ref="T63:T65"/>
    <mergeCell ref="U63:U65"/>
    <mergeCell ref="V63:V65"/>
    <mergeCell ref="D64:F64"/>
    <mergeCell ref="G64:I64"/>
    <mergeCell ref="K64:M64"/>
    <mergeCell ref="N64:N65"/>
    <mergeCell ref="O64:O65"/>
  </mergeCells>
  <pageMargins left="0.7" right="0.7" top="0.75" bottom="0.75" header="0.3" footer="0.3"/>
  <pageSetup paperSize="9" scale="23" orientation="portrait" verticalDpi="0" r:id="rId1"/>
  <colBreaks count="1" manualBreakCount="1">
    <brk id="25"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5"/>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J1" s="900" t="s">
        <v>698</v>
      </c>
    </row>
    <row r="2" spans="1:13" ht="33.75" customHeight="1">
      <c r="A2" s="1520" t="s">
        <v>669</v>
      </c>
      <c r="B2" s="1520"/>
      <c r="C2" s="1520"/>
      <c r="D2" s="901"/>
    </row>
    <row r="3" spans="1:13">
      <c r="A3" s="1476" t="s">
        <v>1</v>
      </c>
      <c r="B3" s="1527" t="s">
        <v>1039</v>
      </c>
      <c r="C3" s="1527"/>
      <c r="D3" s="901"/>
    </row>
    <row r="4" spans="1:13">
      <c r="A4" s="1477"/>
      <c r="B4" s="902" t="s">
        <v>653</v>
      </c>
      <c r="C4" s="903" t="s">
        <v>654</v>
      </c>
      <c r="D4" s="904"/>
    </row>
    <row r="5" spans="1:13" ht="25.5">
      <c r="A5" s="905" t="s">
        <v>669</v>
      </c>
      <c r="B5" s="906">
        <f>30000*1.21</f>
        <v>36300</v>
      </c>
      <c r="C5" s="488">
        <v>0</v>
      </c>
      <c r="D5" s="904"/>
    </row>
    <row r="6" spans="1:13" ht="99" customHeight="1">
      <c r="A6" s="1519" t="s">
        <v>1094</v>
      </c>
      <c r="B6" s="1519"/>
      <c r="C6" s="1519"/>
      <c r="D6" s="904"/>
    </row>
    <row r="7" spans="1:13">
      <c r="A7" s="1521"/>
      <c r="B7" s="1521"/>
      <c r="C7" s="1521"/>
    </row>
    <row r="9" spans="1:13">
      <c r="A9" s="1520" t="s">
        <v>669</v>
      </c>
      <c r="B9" s="1520"/>
      <c r="C9" s="1520"/>
      <c r="D9" s="1520"/>
      <c r="E9" s="1520"/>
      <c r="F9" s="1520"/>
      <c r="G9" s="1520"/>
      <c r="H9" s="1520"/>
      <c r="I9" s="1520"/>
      <c r="J9" s="1520"/>
      <c r="K9" s="1520"/>
    </row>
    <row r="10" spans="1:13" ht="51">
      <c r="A10" s="907"/>
      <c r="B10" s="908" t="s">
        <v>1</v>
      </c>
      <c r="C10" s="908" t="s">
        <v>2</v>
      </c>
      <c r="D10" s="902" t="s">
        <v>3</v>
      </c>
      <c r="E10" s="902" t="s">
        <v>655</v>
      </c>
      <c r="F10" s="902" t="s">
        <v>656</v>
      </c>
      <c r="G10" s="902" t="s">
        <v>657</v>
      </c>
      <c r="H10" s="902" t="s">
        <v>658</v>
      </c>
      <c r="I10" s="902" t="s">
        <v>659</v>
      </c>
      <c r="J10" s="902" t="s">
        <v>660</v>
      </c>
      <c r="K10" s="902" t="s">
        <v>661</v>
      </c>
    </row>
    <row r="11" spans="1:13">
      <c r="A11" s="1523" t="s">
        <v>663</v>
      </c>
      <c r="B11" s="1523" t="s">
        <v>669</v>
      </c>
      <c r="C11" s="1524"/>
      <c r="D11" s="1524"/>
      <c r="E11" s="908" t="s">
        <v>664</v>
      </c>
      <c r="F11" s="906">
        <v>1</v>
      </c>
      <c r="G11" s="906">
        <v>13950</v>
      </c>
      <c r="H11" s="906">
        <f>F11*G11</f>
        <v>13950</v>
      </c>
      <c r="I11" s="906">
        <v>21</v>
      </c>
      <c r="J11" s="906">
        <f>G11*1.21</f>
        <v>16879.5</v>
      </c>
      <c r="K11" s="906">
        <f>F11*J11</f>
        <v>16879.5</v>
      </c>
      <c r="M11" s="911"/>
    </row>
    <row r="12" spans="1:13">
      <c r="A12" s="1523"/>
      <c r="B12" s="1523"/>
      <c r="C12" s="1524"/>
      <c r="D12" s="1524"/>
      <c r="E12" s="908" t="s">
        <v>665</v>
      </c>
      <c r="F12" s="906">
        <v>1</v>
      </c>
      <c r="G12" s="906">
        <v>13950</v>
      </c>
      <c r="H12" s="906">
        <f t="shared" ref="H12:H13" si="0">F12*G12</f>
        <v>13950</v>
      </c>
      <c r="I12" s="906">
        <v>21</v>
      </c>
      <c r="J12" s="906">
        <f t="shared" ref="J12:J13" si="1">G12*1.21</f>
        <v>16879.5</v>
      </c>
      <c r="K12" s="906">
        <f t="shared" ref="K12:K13" si="2">F12*J12</f>
        <v>16879.5</v>
      </c>
      <c r="M12" s="911"/>
    </row>
    <row r="13" spans="1:13" ht="14.25" customHeight="1">
      <c r="A13" s="1523"/>
      <c r="B13" s="1523"/>
      <c r="C13" s="1524"/>
      <c r="D13" s="1524"/>
      <c r="E13" s="908" t="s">
        <v>666</v>
      </c>
      <c r="F13" s="906">
        <v>3</v>
      </c>
      <c r="G13" s="906">
        <v>700</v>
      </c>
      <c r="H13" s="906">
        <f t="shared" si="0"/>
        <v>2100</v>
      </c>
      <c r="I13" s="906">
        <v>21</v>
      </c>
      <c r="J13" s="906">
        <f t="shared" si="1"/>
        <v>847</v>
      </c>
      <c r="K13" s="906">
        <f t="shared" si="2"/>
        <v>2541</v>
      </c>
      <c r="M13" s="911"/>
    </row>
    <row r="14" spans="1:13">
      <c r="A14" s="487"/>
      <c r="B14" s="487"/>
      <c r="C14" s="487"/>
      <c r="D14" s="487"/>
      <c r="E14" s="487"/>
      <c r="F14" s="487"/>
      <c r="G14" s="487"/>
      <c r="H14" s="912">
        <f>SUM(H11:H13)</f>
        <v>30000</v>
      </c>
      <c r="I14" s="487"/>
      <c r="J14" s="912"/>
      <c r="K14" s="906">
        <f>SUM(K11:K13)</f>
        <v>36300</v>
      </c>
    </row>
    <row r="15" spans="1:13" ht="62.1" customHeight="1">
      <c r="A15" s="1519" t="s">
        <v>1095</v>
      </c>
      <c r="B15" s="1519"/>
      <c r="C15" s="1519"/>
      <c r="D15" s="1519"/>
      <c r="E15" s="1519"/>
      <c r="F15" s="1519"/>
      <c r="G15" s="1519"/>
      <c r="H15" s="1519"/>
      <c r="I15" s="1519"/>
      <c r="J15" s="1519"/>
      <c r="K15" s="1519"/>
    </row>
  </sheetData>
  <mergeCells count="11">
    <mergeCell ref="A15:K15"/>
    <mergeCell ref="A2:C2"/>
    <mergeCell ref="A3:A4"/>
    <mergeCell ref="B3:C3"/>
    <mergeCell ref="A6:C6"/>
    <mergeCell ref="A7:C7"/>
    <mergeCell ref="A9:K9"/>
    <mergeCell ref="A11:A13"/>
    <mergeCell ref="B11:B13"/>
    <mergeCell ref="C11:C13"/>
    <mergeCell ref="D11:D13"/>
  </mergeCells>
  <pageMargins left="0.7" right="0.7" top="0.75" bottom="0.75" header="0.3" footer="0.3"/>
  <pageSetup paperSize="9" scale="44" orientation="portrait"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6"/>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C1" s="900"/>
      <c r="J1" s="900" t="s">
        <v>739</v>
      </c>
    </row>
    <row r="2" spans="1:13" ht="33.75" customHeight="1">
      <c r="A2" s="1520" t="s">
        <v>670</v>
      </c>
      <c r="B2" s="1520"/>
      <c r="C2" s="1520"/>
      <c r="D2" s="901"/>
    </row>
    <row r="3" spans="1:13">
      <c r="A3" s="1476" t="s">
        <v>1</v>
      </c>
      <c r="B3" s="1527" t="s">
        <v>1039</v>
      </c>
      <c r="C3" s="1527"/>
      <c r="D3" s="901"/>
    </row>
    <row r="4" spans="1:13">
      <c r="A4" s="1477"/>
      <c r="B4" s="902" t="s">
        <v>653</v>
      </c>
      <c r="C4" s="903" t="s">
        <v>654</v>
      </c>
      <c r="D4" s="904"/>
    </row>
    <row r="5" spans="1:13" ht="25.5">
      <c r="A5" s="905" t="s">
        <v>670</v>
      </c>
      <c r="B5" s="906">
        <f>30000*1.21</f>
        <v>36300</v>
      </c>
      <c r="C5" s="488">
        <v>0</v>
      </c>
      <c r="D5" s="904"/>
    </row>
    <row r="6" spans="1:13" ht="99.95" customHeight="1">
      <c r="A6" s="1519" t="s">
        <v>1094</v>
      </c>
      <c r="B6" s="1519"/>
      <c r="C6" s="1519"/>
      <c r="D6" s="904"/>
    </row>
    <row r="7" spans="1:13">
      <c r="A7" s="1521"/>
      <c r="B7" s="1521"/>
      <c r="C7" s="1521"/>
    </row>
    <row r="9" spans="1:13">
      <c r="J9" s="1522"/>
      <c r="K9" s="1522"/>
    </row>
    <row r="10" spans="1:13">
      <c r="A10" s="1520" t="s">
        <v>670</v>
      </c>
      <c r="B10" s="1520"/>
      <c r="C10" s="1520"/>
      <c r="D10" s="1520"/>
      <c r="E10" s="1520"/>
      <c r="F10" s="1520"/>
      <c r="G10" s="1520"/>
      <c r="H10" s="1520"/>
      <c r="I10" s="1520"/>
      <c r="J10" s="1520"/>
      <c r="K10" s="1520"/>
    </row>
    <row r="11" spans="1:13" ht="51">
      <c r="A11" s="907"/>
      <c r="B11" s="908" t="s">
        <v>1</v>
      </c>
      <c r="C11" s="908" t="s">
        <v>2</v>
      </c>
      <c r="D11" s="902" t="s">
        <v>3</v>
      </c>
      <c r="E11" s="902" t="s">
        <v>655</v>
      </c>
      <c r="F11" s="902" t="s">
        <v>656</v>
      </c>
      <c r="G11" s="902" t="s">
        <v>657</v>
      </c>
      <c r="H11" s="902" t="s">
        <v>658</v>
      </c>
      <c r="I11" s="902" t="s">
        <v>659</v>
      </c>
      <c r="J11" s="902" t="s">
        <v>660</v>
      </c>
      <c r="K11" s="902" t="s">
        <v>661</v>
      </c>
    </row>
    <row r="12" spans="1:13">
      <c r="A12" s="1523" t="s">
        <v>663</v>
      </c>
      <c r="B12" s="1523" t="s">
        <v>670</v>
      </c>
      <c r="C12" s="1524"/>
      <c r="D12" s="1524"/>
      <c r="E12" s="908" t="s">
        <v>664</v>
      </c>
      <c r="F12" s="906">
        <v>1</v>
      </c>
      <c r="G12" s="906">
        <v>13950</v>
      </c>
      <c r="H12" s="906">
        <f>F12*G12</f>
        <v>13950</v>
      </c>
      <c r="I12" s="906">
        <v>21</v>
      </c>
      <c r="J12" s="906">
        <f>G12*1.21</f>
        <v>16879.5</v>
      </c>
      <c r="K12" s="906">
        <f>F12*J12</f>
        <v>16879.5</v>
      </c>
      <c r="M12" s="911"/>
    </row>
    <row r="13" spans="1:13">
      <c r="A13" s="1523"/>
      <c r="B13" s="1523"/>
      <c r="C13" s="1524"/>
      <c r="D13" s="1524"/>
      <c r="E13" s="908" t="s">
        <v>665</v>
      </c>
      <c r="F13" s="906">
        <v>1</v>
      </c>
      <c r="G13" s="906">
        <v>13950</v>
      </c>
      <c r="H13" s="906">
        <f t="shared" ref="H13:H14" si="0">F13*G13</f>
        <v>13950</v>
      </c>
      <c r="I13" s="906">
        <v>21</v>
      </c>
      <c r="J13" s="906">
        <f t="shared" ref="J13:J14" si="1">G13*1.21</f>
        <v>16879.5</v>
      </c>
      <c r="K13" s="906">
        <f t="shared" ref="K13:K14" si="2">F13*J13</f>
        <v>16879.5</v>
      </c>
      <c r="M13" s="911"/>
    </row>
    <row r="14" spans="1:13" ht="16.5" customHeight="1">
      <c r="A14" s="1523"/>
      <c r="B14" s="1523"/>
      <c r="C14" s="1524"/>
      <c r="D14" s="1524"/>
      <c r="E14" s="908" t="s">
        <v>666</v>
      </c>
      <c r="F14" s="906">
        <v>3</v>
      </c>
      <c r="G14" s="906">
        <v>700</v>
      </c>
      <c r="H14" s="906">
        <f t="shared" si="0"/>
        <v>2100</v>
      </c>
      <c r="I14" s="906">
        <v>21</v>
      </c>
      <c r="J14" s="906">
        <f t="shared" si="1"/>
        <v>847</v>
      </c>
      <c r="K14" s="906">
        <f t="shared" si="2"/>
        <v>2541</v>
      </c>
      <c r="M14" s="911"/>
    </row>
    <row r="15" spans="1:13">
      <c r="A15" s="487"/>
      <c r="B15" s="487"/>
      <c r="C15" s="487"/>
      <c r="D15" s="487"/>
      <c r="E15" s="487"/>
      <c r="F15" s="487"/>
      <c r="G15" s="487"/>
      <c r="H15" s="912">
        <f>SUM(H12:H14)</f>
        <v>30000</v>
      </c>
      <c r="I15" s="487"/>
      <c r="J15" s="912"/>
      <c r="K15" s="906">
        <f>SUM(K12:K14)</f>
        <v>36300</v>
      </c>
    </row>
    <row r="16" spans="1:13" ht="66.599999999999994" customHeight="1">
      <c r="A16" s="1519" t="s">
        <v>1094</v>
      </c>
      <c r="B16" s="1519"/>
      <c r="C16" s="1519"/>
      <c r="D16" s="1519"/>
      <c r="E16" s="1519"/>
      <c r="F16" s="1519"/>
      <c r="G16" s="1519"/>
      <c r="H16" s="1519"/>
      <c r="I16" s="1519"/>
      <c r="J16" s="1519"/>
      <c r="K16" s="1519"/>
    </row>
  </sheetData>
  <mergeCells count="12">
    <mergeCell ref="A16:K16"/>
    <mergeCell ref="A2:C2"/>
    <mergeCell ref="A3:A4"/>
    <mergeCell ref="B3:C3"/>
    <mergeCell ref="A6:C6"/>
    <mergeCell ref="A7:C7"/>
    <mergeCell ref="J9:K9"/>
    <mergeCell ref="A10:K10"/>
    <mergeCell ref="A12:A14"/>
    <mergeCell ref="B12:B14"/>
    <mergeCell ref="C12:C14"/>
    <mergeCell ref="D12:D14"/>
  </mergeCells>
  <pageMargins left="0.7" right="0.7" top="0.75" bottom="0.75" header="0.3" footer="0.3"/>
  <pageSetup paperSize="9" scale="44" orientation="portrait"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E66"/>
  <sheetViews>
    <sheetView zoomScaleNormal="100" workbookViewId="0">
      <selection activeCell="A4" sqref="A4"/>
    </sheetView>
  </sheetViews>
  <sheetFormatPr defaultColWidth="8.875" defaultRowHeight="12.75"/>
  <cols>
    <col min="1" max="1" width="46.5" style="521" customWidth="1"/>
    <col min="2" max="2" width="14.875" style="521" customWidth="1"/>
    <col min="3" max="3" width="12.125" style="521" customWidth="1"/>
    <col min="4" max="4" width="16.125" style="521" customWidth="1"/>
    <col min="5" max="5" width="17.5" style="521" customWidth="1"/>
    <col min="6" max="6" width="12.125" style="521" customWidth="1"/>
    <col min="7" max="7" width="22.5" style="521" customWidth="1"/>
    <col min="8" max="8" width="18.75" style="521" customWidth="1"/>
    <col min="9" max="9" width="17.5" style="521" customWidth="1"/>
    <col min="10" max="10" width="22.5" style="521" customWidth="1"/>
    <col min="11" max="11" width="17.125" style="521" customWidth="1"/>
    <col min="12" max="12" width="18.25" style="521" customWidth="1"/>
    <col min="13" max="13" width="13" style="521" customWidth="1"/>
    <col min="14" max="14" width="12.5" style="521" customWidth="1"/>
    <col min="15" max="15" width="8" style="521" customWidth="1"/>
    <col min="16" max="16" width="11.5" style="521" customWidth="1"/>
    <col min="17" max="17" width="12.125" style="521" customWidth="1"/>
    <col min="18" max="18" width="13.5" style="521" customWidth="1"/>
    <col min="19" max="19" width="14.5" style="521" customWidth="1"/>
    <col min="20" max="20" width="9.875" style="521" customWidth="1"/>
    <col min="21" max="21" width="13.5" style="521" customWidth="1"/>
    <col min="22" max="31" width="8.875" style="521" bestFit="1"/>
    <col min="32" max="32" width="13.5" style="521" customWidth="1"/>
    <col min="33" max="33" width="11.5" style="521" customWidth="1"/>
    <col min="34" max="37" width="9.125" style="521" bestFit="1" customWidth="1"/>
    <col min="38" max="16384" width="8.875" style="521"/>
  </cols>
  <sheetData>
    <row r="1" spans="1:31">
      <c r="AC1" s="521" t="s">
        <v>743</v>
      </c>
    </row>
    <row r="3" spans="1:31" ht="15.75">
      <c r="B3" s="525"/>
      <c r="C3" s="525"/>
      <c r="D3" s="974" t="s">
        <v>417</v>
      </c>
      <c r="E3" s="525"/>
      <c r="F3" s="522"/>
      <c r="G3" s="523"/>
      <c r="H3" s="523"/>
      <c r="I3" s="523"/>
      <c r="J3" s="523"/>
      <c r="K3" s="523"/>
      <c r="S3" s="1631"/>
      <c r="T3" s="1631"/>
      <c r="U3" s="1631"/>
      <c r="V3" s="1631"/>
      <c r="W3" s="1631"/>
      <c r="X3" s="1631"/>
    </row>
    <row r="4" spans="1:31" s="733" customFormat="1">
      <c r="A4" s="735"/>
      <c r="B4" s="735"/>
      <c r="C4" s="735"/>
      <c r="D4" s="735"/>
      <c r="E4" s="735"/>
      <c r="F4" s="731"/>
      <c r="G4" s="732"/>
      <c r="H4" s="732"/>
      <c r="I4" s="732"/>
      <c r="J4" s="732"/>
      <c r="K4" s="732"/>
      <c r="S4" s="734"/>
      <c r="T4" s="734"/>
      <c r="U4" s="734"/>
      <c r="V4" s="734"/>
      <c r="W4" s="734"/>
      <c r="X4" s="734"/>
    </row>
    <row r="5" spans="1:31" s="733" customFormat="1" ht="12.75" customHeight="1">
      <c r="A5" s="1626"/>
      <c r="B5" s="1626" t="s">
        <v>181</v>
      </c>
      <c r="C5" s="1626"/>
      <c r="D5" s="1626"/>
      <c r="E5" s="1623" t="s">
        <v>1013</v>
      </c>
      <c r="F5" s="1623" t="s">
        <v>1017</v>
      </c>
      <c r="G5" s="1623" t="s">
        <v>1032</v>
      </c>
      <c r="H5" s="732"/>
      <c r="I5" s="732"/>
      <c r="J5" s="732"/>
      <c r="K5" s="732"/>
      <c r="S5" s="734"/>
      <c r="T5" s="734"/>
      <c r="U5" s="734"/>
      <c r="V5" s="734"/>
      <c r="W5" s="734"/>
      <c r="X5" s="734"/>
    </row>
    <row r="6" spans="1:31" ht="54.75" customHeight="1">
      <c r="A6" s="1626"/>
      <c r="B6" s="698" t="s">
        <v>10</v>
      </c>
      <c r="C6" s="698" t="s">
        <v>11</v>
      </c>
      <c r="D6" s="698" t="s">
        <v>12</v>
      </c>
      <c r="E6" s="1623"/>
      <c r="F6" s="1623"/>
      <c r="G6" s="1623"/>
      <c r="H6" s="523"/>
      <c r="I6" s="523"/>
      <c r="J6" s="523"/>
      <c r="K6" s="523"/>
      <c r="S6" s="524"/>
      <c r="T6" s="524"/>
      <c r="U6" s="524"/>
      <c r="V6" s="524"/>
      <c r="W6" s="524"/>
      <c r="X6" s="524"/>
    </row>
    <row r="7" spans="1:31" ht="25.5">
      <c r="A7" s="737" t="s">
        <v>66</v>
      </c>
      <c r="B7" s="738">
        <v>47432</v>
      </c>
      <c r="C7" s="738">
        <v>71148</v>
      </c>
      <c r="D7" s="738">
        <v>94864</v>
      </c>
      <c r="E7" s="738">
        <f>H34</f>
        <v>94864</v>
      </c>
      <c r="F7" s="738">
        <f>I34</f>
        <v>94864</v>
      </c>
      <c r="G7" s="738">
        <f>J34</f>
        <v>118580</v>
      </c>
      <c r="H7" s="523"/>
      <c r="I7" s="523"/>
      <c r="J7" s="523"/>
      <c r="K7" s="523"/>
      <c r="S7" s="524"/>
      <c r="T7" s="524"/>
      <c r="U7" s="524"/>
      <c r="V7" s="524"/>
      <c r="W7" s="524"/>
      <c r="X7" s="524"/>
    </row>
    <row r="8" spans="1:31">
      <c r="A8" s="737" t="s">
        <v>21</v>
      </c>
      <c r="B8" s="738">
        <v>222948</v>
      </c>
      <c r="C8" s="738">
        <v>390159</v>
      </c>
      <c r="D8" s="738">
        <v>557370</v>
      </c>
      <c r="E8" s="738">
        <f>D61</f>
        <v>342112</v>
      </c>
      <c r="F8" s="739">
        <f>I35</f>
        <v>342112</v>
      </c>
      <c r="G8" s="739">
        <f>D63</f>
        <v>427640</v>
      </c>
      <c r="H8" s="523"/>
      <c r="I8" s="523"/>
      <c r="J8" s="523"/>
      <c r="K8" s="523"/>
      <c r="S8" s="524"/>
      <c r="T8" s="524"/>
      <c r="U8" s="524"/>
      <c r="V8" s="524"/>
      <c r="W8" s="524"/>
      <c r="X8" s="524"/>
    </row>
    <row r="9" spans="1:31">
      <c r="A9" s="737" t="s">
        <v>203</v>
      </c>
      <c r="B9" s="1627"/>
      <c r="C9" s="1628"/>
      <c r="D9" s="1629"/>
      <c r="E9" s="738">
        <v>100</v>
      </c>
      <c r="F9" s="738">
        <v>150</v>
      </c>
      <c r="G9" s="738">
        <v>200</v>
      </c>
      <c r="H9" s="523"/>
      <c r="I9" s="523"/>
      <c r="J9" s="523"/>
      <c r="K9" s="523"/>
      <c r="S9" s="524"/>
      <c r="T9" s="524"/>
      <c r="U9" s="524"/>
      <c r="V9" s="524"/>
      <c r="W9" s="524"/>
      <c r="X9" s="524"/>
    </row>
    <row r="10" spans="1:31">
      <c r="A10" s="525"/>
    </row>
    <row r="11" spans="1:31">
      <c r="A11" s="525" t="s">
        <v>418</v>
      </c>
    </row>
    <row r="12" spans="1:31">
      <c r="A12" s="169"/>
      <c r="B12" s="169"/>
      <c r="C12" s="169"/>
      <c r="D12" s="169"/>
      <c r="E12" s="169"/>
      <c r="F12" s="169"/>
      <c r="G12" s="170" t="s">
        <v>251</v>
      </c>
      <c r="H12" s="170" t="s">
        <v>252</v>
      </c>
      <c r="I12" s="170" t="s">
        <v>253</v>
      </c>
      <c r="J12" s="170" t="s">
        <v>254</v>
      </c>
      <c r="K12" s="171"/>
      <c r="L12" s="169"/>
      <c r="M12" s="169"/>
      <c r="N12" s="169"/>
      <c r="O12" s="1624" t="s">
        <v>272</v>
      </c>
      <c r="P12" s="1624" t="s">
        <v>273</v>
      </c>
      <c r="Q12" s="1624" t="s">
        <v>274</v>
      </c>
      <c r="R12" s="169"/>
      <c r="S12" s="169"/>
      <c r="T12" s="169"/>
      <c r="U12" s="169"/>
      <c r="V12" s="169"/>
      <c r="W12" s="169"/>
      <c r="X12" s="169"/>
      <c r="Y12" s="169"/>
      <c r="Z12" s="169"/>
      <c r="AA12" s="169"/>
      <c r="AB12" s="169"/>
      <c r="AC12" s="169"/>
      <c r="AD12" s="169"/>
      <c r="AE12" s="169"/>
    </row>
    <row r="13" spans="1:31">
      <c r="A13" s="169"/>
      <c r="B13" s="169"/>
      <c r="C13" s="169"/>
      <c r="D13" s="169"/>
      <c r="E13" s="172" t="s">
        <v>255</v>
      </c>
      <c r="F13" s="172"/>
      <c r="G13" s="173">
        <v>2304</v>
      </c>
      <c r="H13" s="173">
        <v>1388</v>
      </c>
      <c r="I13" s="173">
        <v>925</v>
      </c>
      <c r="J13" s="170"/>
      <c r="K13" s="169"/>
      <c r="L13" s="169"/>
      <c r="M13" s="169"/>
      <c r="N13" s="169"/>
      <c r="O13" s="1625"/>
      <c r="P13" s="1625"/>
      <c r="Q13" s="1625"/>
      <c r="R13" s="169"/>
      <c r="S13" s="169"/>
      <c r="T13" s="169"/>
      <c r="U13" s="169"/>
      <c r="V13" s="169"/>
      <c r="W13" s="169"/>
      <c r="X13" s="169"/>
      <c r="Y13" s="169"/>
      <c r="Z13" s="169"/>
      <c r="AA13" s="169"/>
      <c r="AB13" s="169"/>
      <c r="AC13" s="169"/>
      <c r="AD13" s="169"/>
      <c r="AE13" s="169"/>
    </row>
    <row r="14" spans="1:31">
      <c r="A14" s="169"/>
      <c r="B14" s="169"/>
      <c r="C14" s="169"/>
      <c r="D14" s="169"/>
      <c r="E14" s="172" t="s">
        <v>256</v>
      </c>
      <c r="F14" s="172"/>
      <c r="G14" s="175">
        <f>ROUND(G13/9600,4)</f>
        <v>0.24</v>
      </c>
      <c r="H14" s="175">
        <f>ROUND(H13/9600,4)</f>
        <v>0.14460000000000001</v>
      </c>
      <c r="I14" s="175">
        <f>ROUND(I13/9600,4)</f>
        <v>9.64E-2</v>
      </c>
      <c r="J14" s="176">
        <v>0.2359</v>
      </c>
      <c r="K14" s="169"/>
      <c r="L14" s="169"/>
      <c r="M14" s="169"/>
      <c r="N14" s="172" t="s">
        <v>275</v>
      </c>
      <c r="O14" s="176">
        <v>0.28570000000000001</v>
      </c>
      <c r="P14" s="176">
        <v>2.0199999999999999E-2</v>
      </c>
      <c r="Q14" s="176">
        <v>3.2199999999999999E-2</v>
      </c>
      <c r="R14" s="169"/>
      <c r="S14" s="169"/>
      <c r="T14" s="169"/>
      <c r="U14" s="169"/>
      <c r="V14" s="169"/>
      <c r="W14" s="169"/>
      <c r="X14" s="169"/>
      <c r="Y14" s="169"/>
      <c r="Z14" s="169"/>
      <c r="AA14" s="169"/>
      <c r="AB14" s="169"/>
      <c r="AC14" s="169"/>
      <c r="AD14" s="169"/>
      <c r="AE14" s="169"/>
    </row>
    <row r="15" spans="1:31">
      <c r="A15" s="169"/>
      <c r="B15" s="169"/>
      <c r="C15" s="169"/>
      <c r="D15" s="169"/>
      <c r="E15" s="169"/>
      <c r="F15" s="169"/>
      <c r="G15" s="169"/>
      <c r="H15" s="169"/>
      <c r="I15" s="169"/>
      <c r="J15" s="169"/>
      <c r="K15" s="169"/>
      <c r="L15" s="169"/>
      <c r="M15" s="169"/>
      <c r="N15" s="169"/>
      <c r="O15" s="169"/>
      <c r="P15" s="169"/>
      <c r="Q15" s="169"/>
      <c r="R15" s="169"/>
      <c r="S15" s="169"/>
      <c r="T15" s="169"/>
      <c r="U15" s="169"/>
      <c r="V15" s="169"/>
      <c r="W15" s="169"/>
      <c r="X15" s="169"/>
      <c r="Y15" s="169"/>
      <c r="Z15" s="169"/>
      <c r="AA15" s="169"/>
      <c r="AB15" s="169"/>
      <c r="AC15" s="169"/>
      <c r="AD15" s="169"/>
      <c r="AE15" s="169"/>
    </row>
    <row r="16" spans="1:31">
      <c r="A16" s="1623" t="s">
        <v>183</v>
      </c>
      <c r="B16" s="1623" t="s">
        <v>182</v>
      </c>
      <c r="C16" s="1623" t="s">
        <v>276</v>
      </c>
      <c r="D16" s="1623"/>
      <c r="E16" s="1623"/>
      <c r="F16" s="1623"/>
      <c r="G16" s="1623"/>
      <c r="H16" s="1623"/>
      <c r="I16" s="1623"/>
      <c r="J16" s="1623"/>
      <c r="K16" s="1623"/>
      <c r="L16" s="1623"/>
      <c r="M16" s="1623"/>
      <c r="N16" s="1623"/>
      <c r="O16" s="1623"/>
      <c r="P16" s="1623"/>
      <c r="Q16" s="1623"/>
      <c r="R16" s="1623" t="s">
        <v>277</v>
      </c>
      <c r="S16" s="1623" t="s">
        <v>278</v>
      </c>
      <c r="T16" s="1623" t="s">
        <v>184</v>
      </c>
      <c r="U16" s="1630" t="s">
        <v>316</v>
      </c>
      <c r="V16" s="1630" t="s">
        <v>317</v>
      </c>
      <c r="W16" s="1630" t="s">
        <v>318</v>
      </c>
      <c r="X16" s="1630" t="s">
        <v>319</v>
      </c>
      <c r="Y16" s="1630" t="s">
        <v>320</v>
      </c>
      <c r="Z16" s="1630" t="s">
        <v>321</v>
      </c>
      <c r="AA16" s="1630" t="s">
        <v>322</v>
      </c>
      <c r="AB16" s="1630" t="s">
        <v>323</v>
      </c>
      <c r="AC16" s="1623" t="s">
        <v>324</v>
      </c>
      <c r="AD16" s="1623" t="s">
        <v>325</v>
      </c>
      <c r="AE16" s="1630" t="s">
        <v>184</v>
      </c>
    </row>
    <row r="17" spans="1:31" ht="25.5">
      <c r="A17" s="1623"/>
      <c r="B17" s="1623"/>
      <c r="C17" s="1623" t="s">
        <v>279</v>
      </c>
      <c r="D17" s="1623"/>
      <c r="E17" s="1623"/>
      <c r="F17" s="177"/>
      <c r="G17" s="1623" t="s">
        <v>280</v>
      </c>
      <c r="H17" s="1623"/>
      <c r="I17" s="1623"/>
      <c r="J17" s="177" t="s">
        <v>281</v>
      </c>
      <c r="K17" s="1623" t="s">
        <v>282</v>
      </c>
      <c r="L17" s="1623"/>
      <c r="M17" s="1623"/>
      <c r="N17" s="1623" t="s">
        <v>283</v>
      </c>
      <c r="O17" s="1623" t="s">
        <v>284</v>
      </c>
      <c r="P17" s="1623" t="s">
        <v>285</v>
      </c>
      <c r="Q17" s="1623" t="s">
        <v>286</v>
      </c>
      <c r="R17" s="1623"/>
      <c r="S17" s="1623"/>
      <c r="T17" s="1623"/>
      <c r="U17" s="1630"/>
      <c r="V17" s="1630"/>
      <c r="W17" s="1630"/>
      <c r="X17" s="1630"/>
      <c r="Y17" s="1630"/>
      <c r="Z17" s="1630"/>
      <c r="AA17" s="1630"/>
      <c r="AB17" s="1630"/>
      <c r="AC17" s="1623"/>
      <c r="AD17" s="1623"/>
      <c r="AE17" s="1630"/>
    </row>
    <row r="18" spans="1:31" ht="25.5">
      <c r="A18" s="1623"/>
      <c r="B18" s="1623"/>
      <c r="C18" s="177" t="s">
        <v>287</v>
      </c>
      <c r="D18" s="177" t="s">
        <v>288</v>
      </c>
      <c r="E18" s="177" t="s">
        <v>289</v>
      </c>
      <c r="F18" s="177"/>
      <c r="G18" s="177" t="s">
        <v>287</v>
      </c>
      <c r="H18" s="177" t="s">
        <v>288</v>
      </c>
      <c r="I18" s="177" t="s">
        <v>290</v>
      </c>
      <c r="J18" s="177" t="s">
        <v>291</v>
      </c>
      <c r="K18" s="177" t="s">
        <v>292</v>
      </c>
      <c r="L18" s="178" t="s">
        <v>293</v>
      </c>
      <c r="M18" s="177" t="s">
        <v>294</v>
      </c>
      <c r="N18" s="1623"/>
      <c r="O18" s="1623"/>
      <c r="P18" s="1623"/>
      <c r="Q18" s="1623"/>
      <c r="R18" s="1623"/>
      <c r="S18" s="1623"/>
      <c r="T18" s="1623"/>
      <c r="U18" s="1630"/>
      <c r="V18" s="1630"/>
      <c r="W18" s="1630"/>
      <c r="X18" s="1630"/>
      <c r="Y18" s="1630"/>
      <c r="Z18" s="1630"/>
      <c r="AA18" s="1630"/>
      <c r="AB18" s="1630"/>
      <c r="AC18" s="1623"/>
      <c r="AD18" s="1623"/>
      <c r="AE18" s="1630"/>
    </row>
    <row r="19" spans="1:31">
      <c r="A19" s="174">
        <v>1</v>
      </c>
      <c r="B19" s="174">
        <v>2</v>
      </c>
      <c r="C19" s="174">
        <v>3</v>
      </c>
      <c r="D19" s="174">
        <v>4</v>
      </c>
      <c r="E19" s="174">
        <v>5</v>
      </c>
      <c r="F19" s="174"/>
      <c r="G19" s="174">
        <v>6</v>
      </c>
      <c r="H19" s="174">
        <v>7</v>
      </c>
      <c r="I19" s="174">
        <v>8</v>
      </c>
      <c r="J19" s="174">
        <v>9</v>
      </c>
      <c r="K19" s="174" t="s">
        <v>419</v>
      </c>
      <c r="L19" s="174">
        <v>11</v>
      </c>
      <c r="M19" s="174">
        <v>12</v>
      </c>
      <c r="N19" s="174">
        <v>13</v>
      </c>
      <c r="O19" s="174">
        <v>14</v>
      </c>
      <c r="P19" s="174">
        <v>15</v>
      </c>
      <c r="Q19" s="174">
        <v>16</v>
      </c>
      <c r="R19" s="174">
        <v>17</v>
      </c>
      <c r="S19" s="174">
        <v>18</v>
      </c>
      <c r="T19" s="174">
        <v>19</v>
      </c>
      <c r="U19" s="174">
        <v>20</v>
      </c>
      <c r="V19" s="174">
        <v>21</v>
      </c>
      <c r="W19" s="174">
        <v>22</v>
      </c>
      <c r="X19" s="174">
        <v>23</v>
      </c>
      <c r="Y19" s="174">
        <v>24</v>
      </c>
      <c r="Z19" s="174">
        <v>25</v>
      </c>
      <c r="AA19" s="174">
        <v>26</v>
      </c>
      <c r="AB19" s="174">
        <v>27</v>
      </c>
      <c r="AC19" s="174">
        <v>28</v>
      </c>
      <c r="AD19" s="174">
        <v>29</v>
      </c>
      <c r="AE19" s="174">
        <v>30</v>
      </c>
    </row>
    <row r="20" spans="1:31" ht="25.5">
      <c r="A20" s="179" t="s">
        <v>420</v>
      </c>
      <c r="B20" s="180" t="s">
        <v>421</v>
      </c>
      <c r="C20" s="181">
        <v>30</v>
      </c>
      <c r="D20" s="181">
        <v>20</v>
      </c>
      <c r="E20" s="181">
        <v>0</v>
      </c>
      <c r="F20" s="181"/>
      <c r="G20" s="182">
        <f>ROUND((C20*$G$14),2)</f>
        <v>7.2</v>
      </c>
      <c r="H20" s="181">
        <f>ROUND((D20*$H$14),2)</f>
        <v>2.89</v>
      </c>
      <c r="I20" s="181">
        <f>ROUND((E20*$I$14),2)</f>
        <v>0</v>
      </c>
      <c r="J20" s="182">
        <f>ROUND(((G20+H20+I20)*$J$14),2)</f>
        <v>2.38</v>
      </c>
      <c r="K20" s="183">
        <f>L20+M20</f>
        <v>24.57</v>
      </c>
      <c r="L20" s="183">
        <v>1.7</v>
      </c>
      <c r="M20" s="183">
        <v>22.87</v>
      </c>
      <c r="N20" s="182">
        <v>24.96</v>
      </c>
      <c r="O20" s="182">
        <f>ROUND((G20+H20+I20)*$O$14,2)</f>
        <v>2.88</v>
      </c>
      <c r="P20" s="182">
        <f>ROUND((G20+H20+I20)*$P$14,2)</f>
        <v>0.2</v>
      </c>
      <c r="Q20" s="182">
        <f>ROUND((G20+H20+I20)*$Q$14,2)</f>
        <v>0.32</v>
      </c>
      <c r="R20" s="184">
        <f>ROUND((G20+H20+I20+J20+K20+N20+O20+P20+Q20),2)</f>
        <v>65.400000000000006</v>
      </c>
      <c r="S20" s="185">
        <v>0</v>
      </c>
      <c r="T20" s="184">
        <f>R20-S20</f>
        <v>65.400000000000006</v>
      </c>
      <c r="U20" s="183">
        <f>G20+H20+I20</f>
        <v>10.09</v>
      </c>
      <c r="V20" s="183">
        <f>J20</f>
        <v>2.38</v>
      </c>
      <c r="W20" s="183">
        <f>K20</f>
        <v>24.57</v>
      </c>
      <c r="X20" s="186"/>
      <c r="Y20" s="183">
        <f>O20</f>
        <v>2.88</v>
      </c>
      <c r="Z20" s="183">
        <f>P20</f>
        <v>0.2</v>
      </c>
      <c r="AA20" s="183">
        <f>N20+Q20</f>
        <v>25.28</v>
      </c>
      <c r="AB20" s="186"/>
      <c r="AC20" s="183">
        <f>SUM(U20:AB20)</f>
        <v>65.400000000000006</v>
      </c>
      <c r="AD20" s="183">
        <f>S20</f>
        <v>0</v>
      </c>
      <c r="AE20" s="183">
        <f>AC20-AD20</f>
        <v>65.400000000000006</v>
      </c>
    </row>
    <row r="21" spans="1:31" s="167" customFormat="1" ht="51">
      <c r="A21" s="179" t="s">
        <v>422</v>
      </c>
      <c r="B21" s="180" t="s">
        <v>423</v>
      </c>
      <c r="C21" s="181">
        <v>3</v>
      </c>
      <c r="D21" s="181">
        <v>0</v>
      </c>
      <c r="E21" s="181">
        <v>0</v>
      </c>
      <c r="F21" s="181"/>
      <c r="G21" s="182">
        <f>ROUND((C21*$G$14),2)</f>
        <v>0.72</v>
      </c>
      <c r="H21" s="181">
        <f>ROUND((D21*$H$14),2)</f>
        <v>0</v>
      </c>
      <c r="I21" s="181">
        <f>ROUND((E21*$I$14),2)</f>
        <v>0</v>
      </c>
      <c r="J21" s="182">
        <f>ROUND(((G21+H21+I21)*$J$14),2)</f>
        <v>0.17</v>
      </c>
      <c r="K21" s="183">
        <f>L21+M21</f>
        <v>0.28000000000000003</v>
      </c>
      <c r="L21" s="187">
        <v>0.23</v>
      </c>
      <c r="M21" s="187">
        <v>0.05</v>
      </c>
      <c r="N21" s="182">
        <v>0</v>
      </c>
      <c r="O21" s="182">
        <f>ROUND((G21+H21+I21)*$O$14,2)</f>
        <v>0.21</v>
      </c>
      <c r="P21" s="182">
        <f>ROUND((G21+H21+I21)*$P$14,2)</f>
        <v>0.01</v>
      </c>
      <c r="Q21" s="182">
        <f>ROUND((G21+H21+I21)*$Q$14,2)</f>
        <v>0.02</v>
      </c>
      <c r="R21" s="184">
        <f>ROUND((G21+H21+I21+J21+K21+N21+O21+P21+Q21),2)</f>
        <v>1.41</v>
      </c>
      <c r="S21" s="185">
        <v>0</v>
      </c>
      <c r="T21" s="184">
        <f>R21-S21</f>
        <v>1.41</v>
      </c>
      <c r="U21" s="183">
        <f>G21+H21+I21</f>
        <v>0.72</v>
      </c>
      <c r="V21" s="183">
        <f>J21</f>
        <v>0.17</v>
      </c>
      <c r="W21" s="183">
        <f>K21</f>
        <v>0.28000000000000003</v>
      </c>
      <c r="X21" s="186"/>
      <c r="Y21" s="183">
        <f>O21</f>
        <v>0.21</v>
      </c>
      <c r="Z21" s="183">
        <f>P21</f>
        <v>0.01</v>
      </c>
      <c r="AA21" s="183">
        <f>N21+Q21</f>
        <v>0.02</v>
      </c>
      <c r="AB21" s="186"/>
      <c r="AC21" s="183">
        <f>SUM(U21:AB21)</f>
        <v>1.41</v>
      </c>
      <c r="AD21" s="183">
        <f>S21</f>
        <v>0</v>
      </c>
      <c r="AE21" s="183">
        <f>AC21-AD21</f>
        <v>1.41</v>
      </c>
    </row>
    <row r="22" spans="1:31">
      <c r="A22" s="525"/>
    </row>
    <row r="23" spans="1:31">
      <c r="A23" s="525"/>
      <c r="H23" s="736"/>
      <c r="I23" s="736"/>
      <c r="J23" s="736"/>
      <c r="K23" s="736"/>
      <c r="L23" s="736"/>
      <c r="M23" s="736"/>
      <c r="N23" s="736"/>
      <c r="O23" s="736"/>
    </row>
    <row r="24" spans="1:31" ht="51">
      <c r="A24" s="526" t="s">
        <v>424</v>
      </c>
      <c r="B24" s="527" t="s">
        <v>183</v>
      </c>
      <c r="C24" s="527" t="s">
        <v>184</v>
      </c>
      <c r="D24" s="527" t="s">
        <v>919</v>
      </c>
      <c r="E24" s="527" t="s">
        <v>918</v>
      </c>
      <c r="F24" s="527" t="s">
        <v>185</v>
      </c>
      <c r="G24" s="527" t="s">
        <v>920</v>
      </c>
      <c r="H24" s="528" t="s">
        <v>1041</v>
      </c>
      <c r="I24" s="528" t="s">
        <v>1042</v>
      </c>
      <c r="J24" s="528" t="s">
        <v>1043</v>
      </c>
      <c r="N24" s="736"/>
      <c r="O24" s="736"/>
    </row>
    <row r="25" spans="1:31">
      <c r="A25" s="529" t="s">
        <v>421</v>
      </c>
      <c r="B25" s="526">
        <v>17294</v>
      </c>
      <c r="C25" s="527">
        <v>65.400000000000006</v>
      </c>
      <c r="D25" s="530">
        <v>100</v>
      </c>
      <c r="E25" s="531">
        <v>100</v>
      </c>
      <c r="F25" s="530">
        <v>8</v>
      </c>
      <c r="G25" s="527">
        <f t="shared" ref="G25:G33" si="0">C25*(50*8+50*4)</f>
        <v>39240</v>
      </c>
      <c r="H25" s="532">
        <f t="shared" ref="H25:H33" si="1">C25*E25*8</f>
        <v>52320.000000000007</v>
      </c>
      <c r="I25" s="532">
        <f t="shared" ref="I25:I33" si="2">C25*(100*4+50*8)</f>
        <v>52320.000000000007</v>
      </c>
      <c r="J25" s="532">
        <f t="shared" ref="J25:J33" si="3">C25*(150*4+50*8)</f>
        <v>65400.000000000007</v>
      </c>
      <c r="N25" s="736"/>
      <c r="O25" s="736"/>
    </row>
    <row r="26" spans="1:31">
      <c r="A26" s="533" t="s">
        <v>423</v>
      </c>
      <c r="B26" s="534" t="s">
        <v>422</v>
      </c>
      <c r="C26" s="527">
        <v>1.41</v>
      </c>
      <c r="D26" s="530">
        <v>100</v>
      </c>
      <c r="E26" s="531">
        <v>100</v>
      </c>
      <c r="F26" s="530">
        <v>8</v>
      </c>
      <c r="G26" s="527">
        <f t="shared" si="0"/>
        <v>846</v>
      </c>
      <c r="H26" s="532">
        <f t="shared" si="1"/>
        <v>1128</v>
      </c>
      <c r="I26" s="532">
        <f t="shared" si="2"/>
        <v>1128</v>
      </c>
      <c r="J26" s="532">
        <f t="shared" si="3"/>
        <v>1410</v>
      </c>
      <c r="N26" s="736"/>
      <c r="O26" s="736"/>
    </row>
    <row r="27" spans="1:31">
      <c r="A27" s="533" t="s">
        <v>425</v>
      </c>
      <c r="B27" s="526">
        <v>17030</v>
      </c>
      <c r="C27" s="527">
        <v>5.55</v>
      </c>
      <c r="D27" s="530">
        <v>100</v>
      </c>
      <c r="E27" s="531">
        <v>100</v>
      </c>
      <c r="F27" s="530">
        <v>8</v>
      </c>
      <c r="G27" s="527">
        <f t="shared" si="0"/>
        <v>3330</v>
      </c>
      <c r="H27" s="532">
        <f t="shared" si="1"/>
        <v>4440</v>
      </c>
      <c r="I27" s="532">
        <f t="shared" si="2"/>
        <v>4440</v>
      </c>
      <c r="J27" s="532">
        <f t="shared" si="3"/>
        <v>5550</v>
      </c>
      <c r="N27" s="736"/>
      <c r="O27" s="736"/>
    </row>
    <row r="28" spans="1:31">
      <c r="A28" s="533" t="s">
        <v>426</v>
      </c>
      <c r="B28" s="526">
        <v>17017</v>
      </c>
      <c r="C28" s="527">
        <v>2.6</v>
      </c>
      <c r="D28" s="530">
        <v>100</v>
      </c>
      <c r="E28" s="531">
        <v>100</v>
      </c>
      <c r="F28" s="530">
        <v>8</v>
      </c>
      <c r="G28" s="527">
        <f t="shared" si="0"/>
        <v>1560</v>
      </c>
      <c r="H28" s="532">
        <f t="shared" si="1"/>
        <v>2080</v>
      </c>
      <c r="I28" s="532">
        <f t="shared" si="2"/>
        <v>2080</v>
      </c>
      <c r="J28" s="532">
        <f t="shared" si="3"/>
        <v>2600</v>
      </c>
      <c r="N28" s="736"/>
      <c r="O28" s="736"/>
    </row>
    <row r="29" spans="1:31">
      <c r="A29" s="533" t="s">
        <v>427</v>
      </c>
      <c r="B29" s="535">
        <v>17101</v>
      </c>
      <c r="C29" s="536">
        <v>2.39</v>
      </c>
      <c r="D29" s="537">
        <v>100</v>
      </c>
      <c r="E29" s="538">
        <v>100</v>
      </c>
      <c r="F29" s="537">
        <v>8</v>
      </c>
      <c r="G29" s="527">
        <f t="shared" si="0"/>
        <v>1434</v>
      </c>
      <c r="H29" s="532">
        <f t="shared" si="1"/>
        <v>1912</v>
      </c>
      <c r="I29" s="532">
        <f t="shared" si="2"/>
        <v>1912</v>
      </c>
      <c r="J29" s="532">
        <f t="shared" si="3"/>
        <v>2390</v>
      </c>
      <c r="K29" s="539"/>
      <c r="L29" s="539"/>
      <c r="M29" s="539"/>
      <c r="N29" s="736"/>
      <c r="O29" s="736"/>
      <c r="P29" s="539"/>
      <c r="Q29" s="539"/>
      <c r="R29" s="539"/>
      <c r="S29" s="539"/>
      <c r="T29" s="539"/>
      <c r="U29" s="539"/>
      <c r="V29" s="539"/>
      <c r="W29" s="539"/>
      <c r="X29" s="539"/>
    </row>
    <row r="30" spans="1:31">
      <c r="A30" s="533" t="s">
        <v>428</v>
      </c>
      <c r="B30" s="535">
        <v>17080</v>
      </c>
      <c r="C30" s="536">
        <v>3.27</v>
      </c>
      <c r="D30" s="537">
        <v>100</v>
      </c>
      <c r="E30" s="538">
        <v>100</v>
      </c>
      <c r="F30" s="537">
        <v>8</v>
      </c>
      <c r="G30" s="527">
        <f t="shared" si="0"/>
        <v>1962</v>
      </c>
      <c r="H30" s="532">
        <f t="shared" si="1"/>
        <v>2616</v>
      </c>
      <c r="I30" s="532">
        <f t="shared" si="2"/>
        <v>2616</v>
      </c>
      <c r="J30" s="532">
        <f t="shared" si="3"/>
        <v>3270</v>
      </c>
      <c r="K30" s="539"/>
      <c r="L30" s="539"/>
      <c r="M30" s="539"/>
      <c r="N30" s="736"/>
      <c r="O30" s="736"/>
      <c r="P30" s="539"/>
      <c r="Q30" s="539"/>
      <c r="R30" s="539"/>
      <c r="S30" s="539"/>
      <c r="T30" s="539"/>
      <c r="U30" s="539"/>
      <c r="V30" s="539"/>
      <c r="W30" s="539"/>
      <c r="X30" s="539"/>
    </row>
    <row r="31" spans="1:31">
      <c r="A31" s="533" t="s">
        <v>429</v>
      </c>
      <c r="B31" s="535">
        <v>17086</v>
      </c>
      <c r="C31" s="536">
        <v>3.33</v>
      </c>
      <c r="D31" s="537">
        <v>100</v>
      </c>
      <c r="E31" s="538">
        <v>100</v>
      </c>
      <c r="F31" s="537">
        <v>8</v>
      </c>
      <c r="G31" s="527">
        <f t="shared" si="0"/>
        <v>1998</v>
      </c>
      <c r="H31" s="532">
        <f t="shared" si="1"/>
        <v>2664</v>
      </c>
      <c r="I31" s="532">
        <f t="shared" si="2"/>
        <v>2664</v>
      </c>
      <c r="J31" s="532">
        <f t="shared" si="3"/>
        <v>3330</v>
      </c>
      <c r="K31" s="539"/>
      <c r="L31" s="539"/>
      <c r="M31" s="539"/>
      <c r="N31" s="736"/>
      <c r="O31" s="736"/>
      <c r="P31" s="539"/>
      <c r="Q31" s="539"/>
      <c r="R31" s="539"/>
      <c r="S31" s="539"/>
      <c r="T31" s="539"/>
      <c r="U31" s="539"/>
      <c r="V31" s="539"/>
      <c r="W31" s="539"/>
      <c r="X31" s="539"/>
    </row>
    <row r="32" spans="1:31" s="522" customFormat="1">
      <c r="A32" s="540" t="s">
        <v>430</v>
      </c>
      <c r="B32" s="535">
        <v>17103</v>
      </c>
      <c r="C32" s="536">
        <v>9.74</v>
      </c>
      <c r="D32" s="537">
        <v>100</v>
      </c>
      <c r="E32" s="538">
        <v>100</v>
      </c>
      <c r="F32" s="537">
        <v>8</v>
      </c>
      <c r="G32" s="527">
        <f t="shared" si="0"/>
        <v>5844</v>
      </c>
      <c r="H32" s="532">
        <f t="shared" si="1"/>
        <v>7792</v>
      </c>
      <c r="I32" s="532">
        <f t="shared" si="2"/>
        <v>7792</v>
      </c>
      <c r="J32" s="532">
        <f t="shared" si="3"/>
        <v>9740</v>
      </c>
      <c r="K32" s="539"/>
      <c r="L32" s="539"/>
      <c r="M32" s="539"/>
      <c r="N32" s="736"/>
      <c r="O32" s="736"/>
      <c r="P32" s="539"/>
      <c r="Q32" s="539"/>
      <c r="R32" s="539"/>
      <c r="S32" s="539"/>
      <c r="T32" s="539"/>
      <c r="U32" s="539"/>
      <c r="V32" s="539"/>
      <c r="W32" s="539"/>
      <c r="X32" s="539"/>
    </row>
    <row r="33" spans="1:24" ht="25.5">
      <c r="A33" s="541" t="s">
        <v>431</v>
      </c>
      <c r="B33" s="535">
        <v>60075</v>
      </c>
      <c r="C33" s="536">
        <v>24.89</v>
      </c>
      <c r="D33" s="537">
        <v>100</v>
      </c>
      <c r="E33" s="542">
        <v>100</v>
      </c>
      <c r="F33" s="537">
        <v>8</v>
      </c>
      <c r="G33" s="527">
        <f t="shared" si="0"/>
        <v>14934</v>
      </c>
      <c r="H33" s="532">
        <f t="shared" si="1"/>
        <v>19912</v>
      </c>
      <c r="I33" s="532">
        <f t="shared" si="2"/>
        <v>19912</v>
      </c>
      <c r="J33" s="532">
        <f t="shared" si="3"/>
        <v>24890</v>
      </c>
      <c r="K33" s="539"/>
      <c r="L33" s="539"/>
      <c r="M33" s="539"/>
      <c r="N33" s="736"/>
      <c r="O33" s="736"/>
      <c r="P33" s="539"/>
      <c r="Q33" s="539"/>
      <c r="R33" s="539"/>
      <c r="S33" s="539"/>
      <c r="T33" s="539"/>
      <c r="U33" s="539"/>
      <c r="V33" s="539"/>
      <c r="W33" s="539"/>
      <c r="X33" s="539"/>
    </row>
    <row r="34" spans="1:24">
      <c r="A34" s="943" t="s">
        <v>432</v>
      </c>
      <c r="B34" s="944"/>
      <c r="C34" s="945">
        <f>SUM(C25:C33)</f>
        <v>118.57999999999998</v>
      </c>
      <c r="D34" s="944"/>
      <c r="E34" s="946"/>
      <c r="F34" s="944"/>
      <c r="G34" s="947">
        <f>SUM(G25:G33)</f>
        <v>71148</v>
      </c>
      <c r="H34" s="947">
        <f>SUM(H25:H33)</f>
        <v>94864</v>
      </c>
      <c r="I34" s="947">
        <f>SUM(I25:I33)</f>
        <v>94864</v>
      </c>
      <c r="J34" s="947">
        <f>SUM(J25:J33)</f>
        <v>118580</v>
      </c>
      <c r="N34" s="736"/>
      <c r="O34" s="736"/>
    </row>
    <row r="35" spans="1:24">
      <c r="A35" s="943" t="s">
        <v>433</v>
      </c>
      <c r="B35" s="948"/>
      <c r="C35" s="949">
        <v>427.64</v>
      </c>
      <c r="D35" s="950"/>
      <c r="E35" s="950"/>
      <c r="F35" s="950"/>
      <c r="G35" s="949">
        <f>C35*(50*4+50*8)</f>
        <v>256584</v>
      </c>
      <c r="H35" s="951">
        <f>C35*100*8</f>
        <v>342112</v>
      </c>
      <c r="I35" s="951">
        <f>C35*(100*4+50*8)</f>
        <v>342112</v>
      </c>
      <c r="J35" s="951">
        <f>C35*(150*4+50*8)</f>
        <v>427640</v>
      </c>
      <c r="N35" s="736"/>
      <c r="O35" s="736"/>
    </row>
    <row r="36" spans="1:24">
      <c r="A36" s="952" t="s">
        <v>434</v>
      </c>
      <c r="B36" s="948"/>
      <c r="C36" s="972">
        <f>C34+C35</f>
        <v>546.22</v>
      </c>
      <c r="D36" s="950"/>
      <c r="E36" s="950"/>
      <c r="F36" s="950"/>
      <c r="G36" s="953">
        <f>G34+G35</f>
        <v>327732</v>
      </c>
      <c r="H36" s="953">
        <f>H34+H35</f>
        <v>436976</v>
      </c>
      <c r="I36" s="953">
        <f>I34+I35</f>
        <v>436976</v>
      </c>
      <c r="J36" s="953">
        <f>J34+J35</f>
        <v>546220</v>
      </c>
      <c r="N36" s="736"/>
      <c r="O36" s="736"/>
    </row>
    <row r="37" spans="1:24">
      <c r="A37" s="1632"/>
      <c r="B37" s="1632"/>
      <c r="C37" s="1632"/>
      <c r="D37" s="1632"/>
      <c r="E37" s="1632"/>
      <c r="F37" s="1632"/>
      <c r="G37" s="1632"/>
      <c r="H37" s="1632"/>
      <c r="I37" s="1632"/>
      <c r="J37" s="1632"/>
      <c r="K37" s="1633"/>
      <c r="L37" s="1633"/>
      <c r="M37" s="1633"/>
    </row>
    <row r="38" spans="1:24">
      <c r="A38" s="1633" t="s">
        <v>435</v>
      </c>
      <c r="B38" s="1633"/>
      <c r="C38" s="1633"/>
      <c r="D38" s="1633"/>
      <c r="E38" s="1633"/>
      <c r="F38" s="1633"/>
      <c r="G38" s="1633"/>
      <c r="H38" s="1633"/>
      <c r="I38" s="1633"/>
      <c r="J38" s="1633"/>
      <c r="K38" s="1633"/>
      <c r="L38" s="1633"/>
      <c r="M38" s="1633"/>
    </row>
    <row r="39" spans="1:24">
      <c r="A39" s="973" t="s">
        <v>436</v>
      </c>
      <c r="C39" s="973"/>
      <c r="D39" s="973"/>
      <c r="E39" s="973"/>
      <c r="F39" s="973"/>
      <c r="G39" s="973"/>
      <c r="H39" s="973"/>
      <c r="I39" s="973"/>
      <c r="J39" s="973"/>
      <c r="K39" s="973"/>
      <c r="L39" s="973"/>
      <c r="M39" s="973"/>
    </row>
    <row r="40" spans="1:24">
      <c r="A40" s="954"/>
      <c r="B40" s="955"/>
      <c r="C40" s="955"/>
      <c r="D40" s="955"/>
      <c r="E40" s="955"/>
      <c r="F40" s="955"/>
      <c r="G40" s="955"/>
      <c r="H40" s="955"/>
      <c r="I40" s="955"/>
      <c r="J40" s="955"/>
      <c r="K40" s="955"/>
      <c r="L40" s="955"/>
      <c r="M40" s="955"/>
    </row>
    <row r="41" spans="1:24">
      <c r="A41" s="956" t="s">
        <v>437</v>
      </c>
      <c r="B41" s="957" t="s">
        <v>438</v>
      </c>
      <c r="C41" s="958"/>
      <c r="D41" s="958"/>
      <c r="E41" s="959"/>
      <c r="F41" s="959"/>
      <c r="G41" s="959"/>
      <c r="H41" s="959"/>
      <c r="I41" s="959"/>
      <c r="J41" s="959"/>
      <c r="K41" s="959"/>
      <c r="L41" s="960"/>
      <c r="M41" s="960"/>
    </row>
    <row r="42" spans="1:24">
      <c r="A42" s="956" t="s">
        <v>439</v>
      </c>
      <c r="B42" s="957">
        <v>8</v>
      </c>
      <c r="C42" s="958"/>
      <c r="D42" s="958"/>
      <c r="E42" s="959"/>
      <c r="F42" s="959"/>
      <c r="G42" s="959"/>
      <c r="H42" s="959"/>
      <c r="I42" s="959"/>
      <c r="J42" s="959"/>
      <c r="K42" s="959"/>
      <c r="L42" s="960"/>
      <c r="M42" s="960"/>
    </row>
    <row r="43" spans="1:24">
      <c r="A43" s="956" t="s">
        <v>440</v>
      </c>
      <c r="B43" s="957">
        <v>4</v>
      </c>
      <c r="C43" s="958"/>
      <c r="D43" s="958"/>
      <c r="E43" s="959"/>
      <c r="F43" s="959"/>
      <c r="G43" s="959"/>
      <c r="H43" s="959"/>
      <c r="I43" s="959"/>
      <c r="J43" s="959"/>
      <c r="K43" s="959"/>
      <c r="L43" s="960"/>
      <c r="M43" s="960"/>
    </row>
    <row r="44" spans="1:24">
      <c r="A44" s="956" t="s">
        <v>441</v>
      </c>
      <c r="B44" s="957">
        <v>4</v>
      </c>
      <c r="C44" s="958"/>
      <c r="D44" s="958"/>
      <c r="E44" s="960"/>
      <c r="F44" s="960"/>
      <c r="G44" s="960"/>
      <c r="H44" s="960"/>
      <c r="I44" s="960"/>
      <c r="J44" s="960"/>
      <c r="K44" s="960"/>
      <c r="L44" s="960"/>
      <c r="M44" s="960"/>
    </row>
    <row r="45" spans="1:24">
      <c r="A45" s="960"/>
      <c r="B45" s="960"/>
      <c r="C45" s="960"/>
      <c r="D45" s="960"/>
      <c r="E45" s="960"/>
      <c r="F45" s="960"/>
      <c r="G45" s="960"/>
      <c r="H45" s="960"/>
      <c r="I45" s="960"/>
      <c r="J45" s="960"/>
      <c r="K45" s="960"/>
      <c r="L45" s="960"/>
      <c r="M45" s="960"/>
    </row>
    <row r="46" spans="1:24">
      <c r="A46" s="960"/>
      <c r="B46" s="961">
        <v>2025</v>
      </c>
      <c r="C46" s="962">
        <v>2027</v>
      </c>
      <c r="D46" s="962">
        <v>2028</v>
      </c>
      <c r="E46" s="962" t="s">
        <v>921</v>
      </c>
      <c r="H46" s="960"/>
      <c r="I46" s="960"/>
      <c r="J46" s="960"/>
      <c r="K46" s="960"/>
      <c r="L46" s="960"/>
      <c r="M46" s="960"/>
    </row>
    <row r="47" spans="1:24">
      <c r="A47" s="963" t="s">
        <v>442</v>
      </c>
      <c r="B47" s="964">
        <v>50</v>
      </c>
      <c r="C47" s="964">
        <v>100</v>
      </c>
      <c r="D47" s="964">
        <v>150</v>
      </c>
      <c r="E47" s="964">
        <v>150</v>
      </c>
      <c r="F47" s="960"/>
      <c r="G47" s="960"/>
      <c r="H47" s="960"/>
      <c r="I47" s="960"/>
      <c r="J47" s="960"/>
      <c r="K47" s="960"/>
      <c r="L47" s="960"/>
      <c r="M47" s="960"/>
    </row>
    <row r="48" spans="1:24">
      <c r="A48" s="960" t="s">
        <v>443</v>
      </c>
      <c r="B48" s="965">
        <f>C36*B42*50</f>
        <v>218488</v>
      </c>
      <c r="C48" s="966">
        <f>G36</f>
        <v>327732</v>
      </c>
      <c r="D48" s="964"/>
      <c r="E48" s="964"/>
      <c r="F48" s="960"/>
      <c r="G48" s="960"/>
      <c r="H48" s="960"/>
      <c r="I48" s="960"/>
      <c r="J48" s="960"/>
      <c r="K48" s="960"/>
      <c r="L48" s="960"/>
      <c r="M48" s="960"/>
    </row>
    <row r="49" spans="1:13">
      <c r="A49" s="963" t="s">
        <v>444</v>
      </c>
      <c r="B49" s="964">
        <v>0</v>
      </c>
      <c r="C49" s="964">
        <v>100</v>
      </c>
      <c r="D49" s="964">
        <v>150</v>
      </c>
      <c r="E49" s="964">
        <v>200</v>
      </c>
      <c r="F49" s="960"/>
      <c r="G49" s="960"/>
      <c r="H49" s="960"/>
      <c r="I49" s="960"/>
      <c r="J49" s="960"/>
      <c r="K49" s="960"/>
      <c r="L49" s="960"/>
      <c r="M49" s="960"/>
    </row>
    <row r="50" spans="1:13">
      <c r="A50" s="967" t="s">
        <v>445</v>
      </c>
      <c r="B50" s="968"/>
      <c r="C50" s="969">
        <f>C49*B42*(C34+C35)</f>
        <v>436976</v>
      </c>
      <c r="D50" s="969">
        <f>(50*B42*(C34+C35))+(100*B43*(C34+C35))</f>
        <v>436976</v>
      </c>
      <c r="E50" s="969">
        <f>(150*B43*(C34+C35))+(50*B42*(C34+C35))</f>
        <v>546220</v>
      </c>
      <c r="F50" s="960"/>
      <c r="G50" s="960"/>
      <c r="H50" s="960"/>
      <c r="I50" s="960"/>
      <c r="J50" s="960"/>
      <c r="K50" s="960"/>
      <c r="L50" s="960"/>
      <c r="M50" s="960"/>
    </row>
    <row r="51" spans="1:13">
      <c r="A51" s="963" t="s">
        <v>446</v>
      </c>
      <c r="B51" s="964">
        <f>B47+B49</f>
        <v>50</v>
      </c>
      <c r="C51" s="964">
        <f>C47+C49</f>
        <v>200</v>
      </c>
      <c r="D51" s="964">
        <f>D47+D49</f>
        <v>300</v>
      </c>
      <c r="E51" s="964">
        <f>E47 + E49</f>
        <v>350</v>
      </c>
      <c r="F51" s="960"/>
      <c r="G51" s="960"/>
      <c r="H51" s="960"/>
      <c r="I51" s="960"/>
      <c r="J51" s="960"/>
      <c r="K51" s="960"/>
      <c r="L51" s="960"/>
      <c r="M51" s="960"/>
    </row>
    <row r="52" spans="1:13" ht="51">
      <c r="A52" s="970" t="s">
        <v>447</v>
      </c>
      <c r="B52" s="971"/>
      <c r="C52" s="970" t="s">
        <v>448</v>
      </c>
      <c r="D52" s="970" t="s">
        <v>449</v>
      </c>
      <c r="E52" s="970" t="s">
        <v>450</v>
      </c>
      <c r="F52" s="960"/>
      <c r="G52" s="960"/>
      <c r="H52" s="960"/>
      <c r="I52" s="960"/>
      <c r="J52" s="960"/>
      <c r="K52" s="960"/>
      <c r="L52" s="960"/>
      <c r="M52" s="960"/>
    </row>
    <row r="53" spans="1:13">
      <c r="A53" s="544" t="s">
        <v>451</v>
      </c>
      <c r="C53" s="521" t="s">
        <v>452</v>
      </c>
      <c r="D53" s="521" t="s">
        <v>452</v>
      </c>
      <c r="E53" s="521" t="s">
        <v>453</v>
      </c>
    </row>
    <row r="55" spans="1:13">
      <c r="B55" s="545"/>
    </row>
    <row r="58" spans="1:13">
      <c r="A58" s="1634" t="s">
        <v>454</v>
      </c>
      <c r="B58" s="1634"/>
      <c r="C58" s="1634"/>
      <c r="D58" s="1634"/>
      <c r="E58" s="1634"/>
      <c r="F58" s="546"/>
      <c r="G58" s="547"/>
      <c r="H58" s="547"/>
      <c r="I58" s="547"/>
    </row>
    <row r="59" spans="1:13" ht="76.5">
      <c r="A59" s="527" t="s">
        <v>455</v>
      </c>
      <c r="B59" s="527" t="s">
        <v>456</v>
      </c>
      <c r="C59" s="527" t="s">
        <v>457</v>
      </c>
      <c r="D59" s="548" t="s">
        <v>458</v>
      </c>
      <c r="E59" s="527" t="s">
        <v>459</v>
      </c>
      <c r="F59" s="527"/>
      <c r="G59" s="527" t="s">
        <v>460</v>
      </c>
      <c r="H59" s="547"/>
    </row>
    <row r="60" spans="1:13">
      <c r="A60" s="549">
        <v>100</v>
      </c>
      <c r="B60" s="549">
        <v>150</v>
      </c>
      <c r="C60" s="549">
        <v>200</v>
      </c>
      <c r="D60" s="550">
        <f>8*427.64</f>
        <v>3421.12</v>
      </c>
      <c r="E60" s="550">
        <f>4*427.64</f>
        <v>1710.56</v>
      </c>
      <c r="F60" s="550"/>
      <c r="G60" s="550">
        <f>4*427.64</f>
        <v>1710.56</v>
      </c>
      <c r="H60" s="543"/>
    </row>
    <row r="61" spans="1:13">
      <c r="A61" s="551"/>
      <c r="B61" s="551"/>
      <c r="C61" s="552" t="s">
        <v>461</v>
      </c>
      <c r="D61" s="553">
        <f>C35*8*100</f>
        <v>342112</v>
      </c>
      <c r="E61" s="554"/>
      <c r="F61" s="554"/>
      <c r="G61" s="555"/>
      <c r="H61" s="543"/>
    </row>
    <row r="62" spans="1:13">
      <c r="A62" s="551"/>
      <c r="B62" s="556"/>
      <c r="C62" s="557" t="s">
        <v>462</v>
      </c>
      <c r="D62" s="558">
        <f>C35*(100*4+50*8)</f>
        <v>342112</v>
      </c>
      <c r="E62" s="559"/>
      <c r="F62" s="559"/>
      <c r="G62" s="560"/>
      <c r="H62" s="543"/>
    </row>
    <row r="63" spans="1:13">
      <c r="A63" s="552"/>
      <c r="B63" s="561"/>
      <c r="C63" s="562" t="s">
        <v>463</v>
      </c>
      <c r="D63" s="563">
        <f>C35*(150*4+50*8)</f>
        <v>427640</v>
      </c>
      <c r="E63" s="564"/>
      <c r="F63" s="564"/>
      <c r="G63" s="564"/>
      <c r="H63" s="543"/>
    </row>
    <row r="64" spans="1:13">
      <c r="A64" s="1635"/>
      <c r="B64" s="1635"/>
      <c r="C64" s="1635"/>
      <c r="D64" s="1635"/>
      <c r="E64" s="1635"/>
      <c r="F64" s="1635"/>
      <c r="G64" s="1635"/>
      <c r="H64" s="1635"/>
      <c r="I64" s="1635"/>
      <c r="J64" s="1635"/>
    </row>
    <row r="65" spans="1:10">
      <c r="A65" s="565"/>
      <c r="B65" s="565"/>
      <c r="C65" s="565"/>
      <c r="D65" s="565"/>
      <c r="E65" s="565"/>
      <c r="F65" s="566"/>
      <c r="G65" s="566"/>
      <c r="H65" s="566"/>
      <c r="I65" s="566"/>
      <c r="J65" s="565"/>
    </row>
    <row r="66" spans="1:10">
      <c r="A66" s="1636" t="s">
        <v>464</v>
      </c>
      <c r="B66" s="1636"/>
      <c r="C66" s="1636"/>
      <c r="D66" s="1636"/>
      <c r="E66" s="1636"/>
      <c r="F66" s="1636"/>
      <c r="G66" s="1636"/>
      <c r="H66" s="1636"/>
      <c r="I66" s="1636"/>
      <c r="J66" s="522"/>
    </row>
  </sheetData>
  <mergeCells count="40">
    <mergeCell ref="A37:M37"/>
    <mergeCell ref="A38:M38"/>
    <mergeCell ref="A58:E58"/>
    <mergeCell ref="A64:J64"/>
    <mergeCell ref="A66:I66"/>
    <mergeCell ref="AE16:AE18"/>
    <mergeCell ref="C17:E17"/>
    <mergeCell ref="G17:I17"/>
    <mergeCell ref="K17:M17"/>
    <mergeCell ref="N17:N18"/>
    <mergeCell ref="O17:O18"/>
    <mergeCell ref="P17:P18"/>
    <mergeCell ref="Q17:Q18"/>
    <mergeCell ref="Y16:Y18"/>
    <mergeCell ref="Z16:Z18"/>
    <mergeCell ref="AA16:AA18"/>
    <mergeCell ref="AB16:AB18"/>
    <mergeCell ref="AC16:AC18"/>
    <mergeCell ref="AD16:AD18"/>
    <mergeCell ref="S16:S18"/>
    <mergeCell ref="T16:T18"/>
    <mergeCell ref="U16:U18"/>
    <mergeCell ref="V16:V18"/>
    <mergeCell ref="W16:W18"/>
    <mergeCell ref="X16:X18"/>
    <mergeCell ref="S3:X3"/>
    <mergeCell ref="O12:O13"/>
    <mergeCell ref="P12:P13"/>
    <mergeCell ref="Q12:Q13"/>
    <mergeCell ref="B5:D5"/>
    <mergeCell ref="A5:A6"/>
    <mergeCell ref="E5:E6"/>
    <mergeCell ref="F5:F6"/>
    <mergeCell ref="G5:G6"/>
    <mergeCell ref="B9:D9"/>
    <mergeCell ref="A16:A18"/>
    <mergeCell ref="B16:B18"/>
    <mergeCell ref="C16:M16"/>
    <mergeCell ref="N16:Q16"/>
    <mergeCell ref="R16:R18"/>
  </mergeCells>
  <pageMargins left="0.7" right="0.7" top="0.75" bottom="0.75" header="0.3" footer="0.3"/>
  <pageSetup scale="2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6"/>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C1" s="900"/>
      <c r="J1" s="521" t="s">
        <v>742</v>
      </c>
    </row>
    <row r="2" spans="1:13" ht="33.75" customHeight="1">
      <c r="A2" s="1520" t="s">
        <v>92</v>
      </c>
      <c r="B2" s="1520"/>
      <c r="C2" s="1520"/>
      <c r="D2" s="901"/>
    </row>
    <row r="3" spans="1:13">
      <c r="A3" s="1476" t="s">
        <v>1</v>
      </c>
      <c r="B3" s="1527" t="s">
        <v>1039</v>
      </c>
      <c r="C3" s="1527"/>
      <c r="D3" s="901"/>
    </row>
    <row r="4" spans="1:13">
      <c r="A4" s="1477"/>
      <c r="B4" s="902" t="s">
        <v>653</v>
      </c>
      <c r="C4" s="903" t="s">
        <v>654</v>
      </c>
      <c r="D4" s="904"/>
    </row>
    <row r="5" spans="1:13" ht="25.5">
      <c r="A5" s="905" t="s">
        <v>92</v>
      </c>
      <c r="B5" s="906">
        <f>30000*1.21</f>
        <v>36300</v>
      </c>
      <c r="C5" s="488">
        <v>0</v>
      </c>
      <c r="D5" s="904"/>
    </row>
    <row r="6" spans="1:13" ht="94.5" customHeight="1">
      <c r="A6" s="1519" t="s">
        <v>1094</v>
      </c>
      <c r="B6" s="1519"/>
      <c r="C6" s="1519"/>
      <c r="D6" s="904"/>
    </row>
    <row r="7" spans="1:13">
      <c r="A7" s="1521"/>
      <c r="B7" s="1521"/>
      <c r="C7" s="1521"/>
    </row>
    <row r="10" spans="1:13">
      <c r="A10" s="1520" t="s">
        <v>92</v>
      </c>
      <c r="B10" s="1520"/>
      <c r="C10" s="1520"/>
      <c r="D10" s="1520"/>
      <c r="E10" s="1520"/>
      <c r="F10" s="1520"/>
      <c r="G10" s="1520"/>
      <c r="H10" s="1520"/>
      <c r="I10" s="1520"/>
      <c r="J10" s="1520"/>
      <c r="K10" s="1520"/>
    </row>
    <row r="11" spans="1:13" ht="51">
      <c r="A11" s="907"/>
      <c r="B11" s="908" t="s">
        <v>1</v>
      </c>
      <c r="C11" s="908" t="s">
        <v>2</v>
      </c>
      <c r="D11" s="902" t="s">
        <v>3</v>
      </c>
      <c r="E11" s="902" t="s">
        <v>655</v>
      </c>
      <c r="F11" s="902" t="s">
        <v>656</v>
      </c>
      <c r="G11" s="902" t="s">
        <v>657</v>
      </c>
      <c r="H11" s="902" t="s">
        <v>658</v>
      </c>
      <c r="I11" s="902" t="s">
        <v>659</v>
      </c>
      <c r="J11" s="902" t="s">
        <v>660</v>
      </c>
      <c r="K11" s="902" t="s">
        <v>661</v>
      </c>
    </row>
    <row r="12" spans="1:13">
      <c r="A12" s="1523" t="s">
        <v>663</v>
      </c>
      <c r="B12" s="1523" t="s">
        <v>92</v>
      </c>
      <c r="C12" s="1524"/>
      <c r="D12" s="1524"/>
      <c r="E12" s="908" t="s">
        <v>664</v>
      </c>
      <c r="F12" s="906">
        <v>1</v>
      </c>
      <c r="G12" s="906">
        <v>13950</v>
      </c>
      <c r="H12" s="906">
        <f>F12*G12</f>
        <v>13950</v>
      </c>
      <c r="I12" s="906">
        <v>21</v>
      </c>
      <c r="J12" s="906">
        <f>G12*1.21</f>
        <v>16879.5</v>
      </c>
      <c r="K12" s="906">
        <f>F12*J12</f>
        <v>16879.5</v>
      </c>
      <c r="M12" s="911"/>
    </row>
    <row r="13" spans="1:13">
      <c r="A13" s="1523"/>
      <c r="B13" s="1523"/>
      <c r="C13" s="1524"/>
      <c r="D13" s="1524"/>
      <c r="E13" s="908" t="s">
        <v>665</v>
      </c>
      <c r="F13" s="906">
        <v>1</v>
      </c>
      <c r="G13" s="906">
        <v>13950</v>
      </c>
      <c r="H13" s="906">
        <f t="shared" ref="H13:H14" si="0">F13*G13</f>
        <v>13950</v>
      </c>
      <c r="I13" s="906">
        <v>21</v>
      </c>
      <c r="J13" s="906">
        <f t="shared" ref="J13:J14" si="1">G13*1.21</f>
        <v>16879.5</v>
      </c>
      <c r="K13" s="906">
        <f t="shared" ref="K13:K14" si="2">F13*J13</f>
        <v>16879.5</v>
      </c>
      <c r="M13" s="911"/>
    </row>
    <row r="14" spans="1:13" ht="18.75" customHeight="1">
      <c r="A14" s="1523"/>
      <c r="B14" s="1523"/>
      <c r="C14" s="1524"/>
      <c r="D14" s="1524"/>
      <c r="E14" s="908" t="s">
        <v>666</v>
      </c>
      <c r="F14" s="906">
        <v>3</v>
      </c>
      <c r="G14" s="906">
        <v>700</v>
      </c>
      <c r="H14" s="906">
        <f t="shared" si="0"/>
        <v>2100</v>
      </c>
      <c r="I14" s="906">
        <v>21</v>
      </c>
      <c r="J14" s="906">
        <f t="shared" si="1"/>
        <v>847</v>
      </c>
      <c r="K14" s="906">
        <f t="shared" si="2"/>
        <v>2541</v>
      </c>
      <c r="M14" s="911"/>
    </row>
    <row r="15" spans="1:13">
      <c r="A15" s="487"/>
      <c r="B15" s="487"/>
      <c r="C15" s="487"/>
      <c r="D15" s="487"/>
      <c r="E15" s="487"/>
      <c r="F15" s="487"/>
      <c r="G15" s="487"/>
      <c r="H15" s="912">
        <f>SUM(H12:H14)</f>
        <v>30000</v>
      </c>
      <c r="I15" s="487"/>
      <c r="J15" s="912"/>
      <c r="K15" s="906">
        <f>SUM(K12:K14)</f>
        <v>36300</v>
      </c>
    </row>
    <row r="16" spans="1:13" ht="56.45" customHeight="1">
      <c r="A16" s="1519" t="s">
        <v>1094</v>
      </c>
      <c r="B16" s="1519"/>
      <c r="C16" s="1519"/>
      <c r="D16" s="1519"/>
      <c r="E16" s="1519"/>
      <c r="F16" s="1519"/>
      <c r="G16" s="1519"/>
      <c r="H16" s="1519"/>
      <c r="I16" s="1519"/>
      <c r="J16" s="1519"/>
      <c r="K16" s="1519"/>
    </row>
  </sheetData>
  <mergeCells count="11">
    <mergeCell ref="A16:K16"/>
    <mergeCell ref="A2:C2"/>
    <mergeCell ref="A3:A4"/>
    <mergeCell ref="B3:C3"/>
    <mergeCell ref="A6:C6"/>
    <mergeCell ref="A7:C7"/>
    <mergeCell ref="A10:K10"/>
    <mergeCell ref="A12:A14"/>
    <mergeCell ref="B12:B14"/>
    <mergeCell ref="C12:C14"/>
    <mergeCell ref="D12:D14"/>
  </mergeCells>
  <pageMargins left="0.7" right="0.7" top="0.75" bottom="0.75" header="0.3" footer="0.3"/>
  <pageSetup paperSize="9" scale="44" orientation="portrait"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N36"/>
  <sheetViews>
    <sheetView zoomScaleNormal="100" workbookViewId="0">
      <selection activeCell="A4" sqref="A4"/>
    </sheetView>
  </sheetViews>
  <sheetFormatPr defaultColWidth="9.125" defaultRowHeight="15"/>
  <cols>
    <col min="1" max="1" width="24.125" style="51" customWidth="1"/>
    <col min="2" max="2" width="24.25" style="51" customWidth="1"/>
    <col min="3" max="3" width="22.75" style="51" customWidth="1"/>
    <col min="4" max="4" width="14.5" style="51" customWidth="1"/>
    <col min="5" max="5" width="16.75" style="51" customWidth="1"/>
    <col min="6" max="6" width="16.5" style="51" customWidth="1"/>
    <col min="7" max="7" width="16.125" style="51" customWidth="1"/>
    <col min="8" max="8" width="18.5" style="51" customWidth="1"/>
    <col min="9" max="9" width="11.75" style="51" customWidth="1"/>
    <col min="10" max="10" width="10.5" style="51" customWidth="1"/>
    <col min="11" max="11" width="18.25" style="51" customWidth="1"/>
    <col min="12" max="14" width="20" style="51" customWidth="1"/>
    <col min="15" max="16384" width="9.125" style="51"/>
  </cols>
  <sheetData>
    <row r="1" spans="1:14">
      <c r="M1" s="521" t="s">
        <v>699</v>
      </c>
    </row>
    <row r="3" spans="1:14" ht="15.75">
      <c r="C3" s="926" t="s">
        <v>701</v>
      </c>
      <c r="F3" s="53"/>
    </row>
    <row r="5" spans="1:14" ht="105">
      <c r="A5" s="4" t="s">
        <v>159</v>
      </c>
      <c r="B5" s="4" t="s">
        <v>181</v>
      </c>
      <c r="C5" s="5" t="s">
        <v>1020</v>
      </c>
      <c r="D5" s="5" t="s">
        <v>1021</v>
      </c>
      <c r="E5" s="5" t="s">
        <v>1032</v>
      </c>
    </row>
    <row r="6" spans="1:14" ht="63.75" customHeight="1">
      <c r="A6" s="16" t="s">
        <v>55</v>
      </c>
      <c r="B6" s="293">
        <f>D36</f>
        <v>655668.53</v>
      </c>
      <c r="C6" s="21">
        <f>L18+L19+L20+L21</f>
        <v>2555785.9575</v>
      </c>
      <c r="D6" s="21">
        <f>M18+M19+M20+M21</f>
        <v>2811364.5532500003</v>
      </c>
      <c r="E6" s="21">
        <f>N18+N19+N20+N21</f>
        <v>3066943.1490000002</v>
      </c>
    </row>
    <row r="7" spans="1:14" ht="45">
      <c r="A7" s="16" t="s">
        <v>465</v>
      </c>
      <c r="B7" s="591">
        <v>374176</v>
      </c>
      <c r="C7" s="21">
        <f>L22+F11</f>
        <v>243548.18600000005</v>
      </c>
      <c r="D7" s="21">
        <f>M22+G11</f>
        <v>267903.00460000004</v>
      </c>
      <c r="E7" s="21">
        <f>H11+N22</f>
        <v>292257.82319999998</v>
      </c>
    </row>
    <row r="8" spans="1:14">
      <c r="A8" s="51" t="s">
        <v>466</v>
      </c>
    </row>
    <row r="10" spans="1:14" ht="93">
      <c r="A10" s="147"/>
      <c r="B10" s="148" t="s">
        <v>467</v>
      </c>
      <c r="C10" s="149" t="s">
        <v>468</v>
      </c>
      <c r="D10" s="148" t="s">
        <v>469</v>
      </c>
      <c r="E10" s="148" t="s">
        <v>269</v>
      </c>
      <c r="F10" s="932" t="s">
        <v>1044</v>
      </c>
      <c r="G10" s="932" t="s">
        <v>1045</v>
      </c>
      <c r="H10" s="932" t="s">
        <v>1046</v>
      </c>
    </row>
    <row r="11" spans="1:14">
      <c r="A11" s="150" t="s">
        <v>470</v>
      </c>
      <c r="B11" s="151">
        <v>17.489999999999998</v>
      </c>
      <c r="C11" s="151">
        <v>1</v>
      </c>
      <c r="D11" s="324">
        <f>((98930+337529)*0.1)</f>
        <v>43645.9</v>
      </c>
      <c r="E11" s="153">
        <f>B11*C11*D11</f>
        <v>763366.79099999997</v>
      </c>
      <c r="F11" s="466">
        <f>D11*0.5</f>
        <v>21822.95</v>
      </c>
      <c r="G11" s="592">
        <f>D11*0.55</f>
        <v>24005.245000000003</v>
      </c>
      <c r="H11" s="592">
        <f>D11*0.6</f>
        <v>26187.54</v>
      </c>
    </row>
    <row r="12" spans="1:14" ht="18">
      <c r="A12" s="51" t="s">
        <v>471</v>
      </c>
      <c r="F12" s="593"/>
      <c r="G12" s="593"/>
      <c r="H12" s="593"/>
    </row>
    <row r="13" spans="1:14" ht="18">
      <c r="A13" s="51" t="s">
        <v>472</v>
      </c>
    </row>
    <row r="15" spans="1:14" ht="30" customHeight="1">
      <c r="A15" s="1637" t="s">
        <v>183</v>
      </c>
      <c r="B15" s="1637" t="s">
        <v>182</v>
      </c>
      <c r="C15" s="1637" t="s">
        <v>195</v>
      </c>
      <c r="D15" s="1637" t="s">
        <v>473</v>
      </c>
      <c r="E15" s="1637" t="s">
        <v>474</v>
      </c>
      <c r="F15" s="1558" t="s">
        <v>475</v>
      </c>
      <c r="G15" s="1559"/>
      <c r="H15" s="1559"/>
      <c r="I15" s="1559"/>
      <c r="J15" s="1560"/>
      <c r="K15" s="1637" t="s">
        <v>1047</v>
      </c>
      <c r="L15" s="1537" t="s">
        <v>1044</v>
      </c>
      <c r="M15" s="1537" t="s">
        <v>1045</v>
      </c>
      <c r="N15" s="1537" t="s">
        <v>1046</v>
      </c>
    </row>
    <row r="16" spans="1:14" ht="30" customHeight="1">
      <c r="A16" s="1637"/>
      <c r="B16" s="1637"/>
      <c r="C16" s="1637"/>
      <c r="D16" s="1637"/>
      <c r="E16" s="1637"/>
      <c r="F16" s="1637" t="s">
        <v>476</v>
      </c>
      <c r="G16" s="1637"/>
      <c r="H16" s="1637"/>
      <c r="I16" s="1637" t="s">
        <v>309</v>
      </c>
      <c r="J16" s="1637" t="s">
        <v>310</v>
      </c>
      <c r="K16" s="1637"/>
      <c r="L16" s="1538"/>
      <c r="M16" s="1538"/>
      <c r="N16" s="1538"/>
    </row>
    <row r="17" spans="1:14" ht="30" customHeight="1">
      <c r="A17" s="1637"/>
      <c r="B17" s="1637"/>
      <c r="C17" s="1637"/>
      <c r="D17" s="1637"/>
      <c r="E17" s="1637"/>
      <c r="F17" s="148" t="s">
        <v>477</v>
      </c>
      <c r="G17" s="148" t="s">
        <v>478</v>
      </c>
      <c r="H17" s="148" t="s">
        <v>193</v>
      </c>
      <c r="I17" s="1637"/>
      <c r="J17" s="1637"/>
      <c r="K17" s="1637"/>
      <c r="L17" s="1543"/>
      <c r="M17" s="1543"/>
      <c r="N17" s="1543"/>
    </row>
    <row r="18" spans="1:14">
      <c r="A18" s="68">
        <v>41006</v>
      </c>
      <c r="B18" s="69" t="s">
        <v>479</v>
      </c>
      <c r="C18" s="70">
        <v>1.57</v>
      </c>
      <c r="D18" s="71">
        <v>0</v>
      </c>
      <c r="E18" s="72">
        <v>1.5</v>
      </c>
      <c r="F18" s="73">
        <f>H30-C31</f>
        <v>30282</v>
      </c>
      <c r="G18" s="152">
        <f>H31-C34</f>
        <v>190741</v>
      </c>
      <c r="H18" s="152">
        <f>F18+G18</f>
        <v>221023</v>
      </c>
      <c r="I18" s="74">
        <v>0</v>
      </c>
      <c r="J18" s="74">
        <v>0</v>
      </c>
      <c r="K18" s="74">
        <f>(C18+D18)*(H18+I18+J18)*E18</f>
        <v>520509.16499999998</v>
      </c>
      <c r="L18" s="154">
        <f>$K$18/2</f>
        <v>260254.58249999999</v>
      </c>
      <c r="M18" s="154">
        <f>$K$18*0.55</f>
        <v>286280.04074999999</v>
      </c>
      <c r="N18" s="154">
        <f>$K$18*0.6</f>
        <v>312305.49899999995</v>
      </c>
    </row>
    <row r="19" spans="1:14" ht="15" customHeight="1">
      <c r="A19" s="151">
        <v>41101</v>
      </c>
      <c r="B19" s="155" t="s">
        <v>480</v>
      </c>
      <c r="C19" s="151">
        <v>4.59</v>
      </c>
      <c r="D19" s="156">
        <v>0</v>
      </c>
      <c r="E19" s="151">
        <v>1.5</v>
      </c>
      <c r="F19" s="73">
        <f>H30-C32</f>
        <v>57937</v>
      </c>
      <c r="G19" s="152">
        <f>H31-C35</f>
        <v>327155</v>
      </c>
      <c r="H19" s="152">
        <f t="shared" ref="H19:H22" si="0">F19+G19</f>
        <v>385092</v>
      </c>
      <c r="I19" s="74">
        <v>0</v>
      </c>
      <c r="J19" s="74">
        <v>0</v>
      </c>
      <c r="K19" s="74">
        <f t="shared" ref="K19:K22" si="1">(C19+D19)*(H19+I19+J19)*E19</f>
        <v>2651358.42</v>
      </c>
      <c r="L19" s="154">
        <f>$K$19/2</f>
        <v>1325679.21</v>
      </c>
      <c r="M19" s="154">
        <f>$K$19*0.55</f>
        <v>1458247.1310000001</v>
      </c>
      <c r="N19" s="154">
        <f>$K$19*0.6</f>
        <v>1590815.0519999999</v>
      </c>
    </row>
    <row r="20" spans="1:14" ht="30">
      <c r="A20" s="151">
        <v>40150</v>
      </c>
      <c r="B20" s="155" t="s">
        <v>481</v>
      </c>
      <c r="C20" s="151">
        <v>2.38</v>
      </c>
      <c r="D20" s="156">
        <v>0</v>
      </c>
      <c r="E20" s="151">
        <v>1.5</v>
      </c>
      <c r="F20" s="73">
        <f>H30-C30</f>
        <v>84139</v>
      </c>
      <c r="G20" s="152">
        <f>H31-C33</f>
        <v>318038</v>
      </c>
      <c r="H20" s="152">
        <f t="shared" si="0"/>
        <v>402177</v>
      </c>
      <c r="I20" s="74">
        <v>0</v>
      </c>
      <c r="J20" s="74">
        <v>0</v>
      </c>
      <c r="K20" s="74">
        <f t="shared" si="1"/>
        <v>1435771.8900000001</v>
      </c>
      <c r="L20" s="154">
        <f>$K$20/2</f>
        <v>717885.94500000007</v>
      </c>
      <c r="M20" s="154">
        <f>$K$20*0.55</f>
        <v>789674.53950000019</v>
      </c>
      <c r="N20" s="154">
        <f>$K$20*0.6</f>
        <v>861463.13400000008</v>
      </c>
    </row>
    <row r="21" spans="1:14" ht="30">
      <c r="A21" s="151">
        <v>40003</v>
      </c>
      <c r="B21" s="157" t="s">
        <v>482</v>
      </c>
      <c r="C21" s="151">
        <v>1.52</v>
      </c>
      <c r="D21" s="156">
        <v>0</v>
      </c>
      <c r="E21" s="151">
        <v>1.5</v>
      </c>
      <c r="F21" s="73">
        <f>F18</f>
        <v>30282</v>
      </c>
      <c r="G21" s="152">
        <f>G18</f>
        <v>190741</v>
      </c>
      <c r="H21" s="152">
        <f t="shared" si="0"/>
        <v>221023</v>
      </c>
      <c r="I21" s="74">
        <v>0</v>
      </c>
      <c r="J21" s="74">
        <v>0</v>
      </c>
      <c r="K21" s="74">
        <f t="shared" si="1"/>
        <v>503932.44000000006</v>
      </c>
      <c r="L21" s="154">
        <f>$K$21/2</f>
        <v>251966.22000000003</v>
      </c>
      <c r="M21" s="154">
        <f>$K$21*0.55</f>
        <v>277162.84200000006</v>
      </c>
      <c r="N21" s="154">
        <f>$K$21*0.6</f>
        <v>302359.46400000004</v>
      </c>
    </row>
    <row r="22" spans="1:14" ht="30">
      <c r="A22" s="151">
        <v>50696</v>
      </c>
      <c r="B22" s="155" t="s">
        <v>483</v>
      </c>
      <c r="C22" s="151">
        <v>6.16</v>
      </c>
      <c r="D22" s="158">
        <v>4</v>
      </c>
      <c r="E22" s="151">
        <v>1</v>
      </c>
      <c r="F22" s="73">
        <f>H30*0.1</f>
        <v>9893.8000000000011</v>
      </c>
      <c r="G22" s="152">
        <f>H31*0.1</f>
        <v>33752.9</v>
      </c>
      <c r="H22" s="152">
        <f t="shared" si="0"/>
        <v>43646.700000000004</v>
      </c>
      <c r="I22" s="74">
        <v>0</v>
      </c>
      <c r="J22" s="74">
        <v>0</v>
      </c>
      <c r="K22" s="74">
        <f t="shared" si="1"/>
        <v>443450.47200000007</v>
      </c>
      <c r="L22" s="154">
        <f>$K$22/2</f>
        <v>221725.23600000003</v>
      </c>
      <c r="M22" s="154">
        <f>$K$22*0.55</f>
        <v>243897.75960000005</v>
      </c>
      <c r="N22" s="154">
        <f>$K$22*0.6</f>
        <v>266070.28320000001</v>
      </c>
    </row>
    <row r="23" spans="1:14" ht="15" customHeight="1">
      <c r="A23" s="159"/>
      <c r="B23" s="160"/>
      <c r="K23" s="161">
        <f>SUM(K18:K22)</f>
        <v>5555022.3870000001</v>
      </c>
      <c r="L23" s="154">
        <f>SUM(L18:L22)</f>
        <v>2777511.1935000001</v>
      </c>
      <c r="M23" s="154">
        <f>SUM(M18:M22)</f>
        <v>3055262.3128500003</v>
      </c>
      <c r="N23" s="154">
        <f>SUM(N18:N22)</f>
        <v>3333013.4322000002</v>
      </c>
    </row>
    <row r="24" spans="1:14" ht="18">
      <c r="A24" s="160" t="s">
        <v>484</v>
      </c>
      <c r="B24" s="160"/>
    </row>
    <row r="25" spans="1:14" ht="18">
      <c r="A25" s="160" t="s">
        <v>485</v>
      </c>
      <c r="B25" s="160"/>
    </row>
    <row r="26" spans="1:14" ht="18">
      <c r="A26" s="160" t="s">
        <v>486</v>
      </c>
      <c r="B26" s="160"/>
    </row>
    <row r="27" spans="1:14" ht="18">
      <c r="A27" s="160" t="s">
        <v>487</v>
      </c>
      <c r="B27" s="160"/>
    </row>
    <row r="28" spans="1:14">
      <c r="A28" s="159"/>
      <c r="B28" s="160"/>
    </row>
    <row r="29" spans="1:14" ht="18">
      <c r="A29" s="162" t="s">
        <v>488</v>
      </c>
      <c r="B29" s="163" t="s">
        <v>489</v>
      </c>
      <c r="C29" s="164" t="s">
        <v>490</v>
      </c>
      <c r="D29" s="291" t="s">
        <v>181</v>
      </c>
      <c r="G29" s="147" t="s">
        <v>488</v>
      </c>
      <c r="H29" s="147" t="s">
        <v>491</v>
      </c>
    </row>
    <row r="30" spans="1:14">
      <c r="A30" s="165" t="s">
        <v>492</v>
      </c>
      <c r="B30" s="151">
        <v>40150</v>
      </c>
      <c r="C30" s="249">
        <v>14799</v>
      </c>
      <c r="D30" s="292">
        <f>C30*C20</f>
        <v>35221.619999999995</v>
      </c>
      <c r="G30" s="150" t="s">
        <v>492</v>
      </c>
      <c r="H30" s="161">
        <v>98938</v>
      </c>
    </row>
    <row r="31" spans="1:14">
      <c r="A31" s="165" t="s">
        <v>492</v>
      </c>
      <c r="B31" s="151">
        <v>41006</v>
      </c>
      <c r="C31" s="249">
        <v>68656</v>
      </c>
      <c r="D31" s="292">
        <f>C31*C18</f>
        <v>107789.92</v>
      </c>
      <c r="G31" s="150" t="s">
        <v>493</v>
      </c>
      <c r="H31" s="161">
        <v>337529</v>
      </c>
    </row>
    <row r="32" spans="1:14" ht="18">
      <c r="A32" s="165" t="s">
        <v>492</v>
      </c>
      <c r="B32" s="151">
        <v>41101</v>
      </c>
      <c r="C32" s="249">
        <v>41001</v>
      </c>
      <c r="D32" s="292">
        <f>C32*C19</f>
        <v>188194.59</v>
      </c>
      <c r="G32" s="160" t="s">
        <v>494</v>
      </c>
    </row>
    <row r="33" spans="1:4">
      <c r="A33" s="165" t="s">
        <v>493</v>
      </c>
      <c r="B33" s="151">
        <v>40150</v>
      </c>
      <c r="C33" s="249">
        <v>19491</v>
      </c>
      <c r="D33" s="292">
        <f>C33*C20</f>
        <v>46388.579999999994</v>
      </c>
    </row>
    <row r="34" spans="1:4">
      <c r="A34" s="165" t="s">
        <v>493</v>
      </c>
      <c r="B34" s="151">
        <v>41006</v>
      </c>
      <c r="C34" s="249">
        <v>146788</v>
      </c>
      <c r="D34" s="292">
        <f>C34*C18</f>
        <v>230457.16</v>
      </c>
    </row>
    <row r="35" spans="1:4">
      <c r="A35" s="165" t="s">
        <v>493</v>
      </c>
      <c r="B35" s="151">
        <v>41101</v>
      </c>
      <c r="C35" s="249">
        <v>10374</v>
      </c>
      <c r="D35" s="292">
        <f>C35*C19</f>
        <v>47616.659999999996</v>
      </c>
    </row>
    <row r="36" spans="1:4" ht="18">
      <c r="A36" s="160" t="s">
        <v>495</v>
      </c>
      <c r="D36" s="292">
        <f>SUM(D30:D35)</f>
        <v>655668.53</v>
      </c>
    </row>
  </sheetData>
  <mergeCells count="13">
    <mergeCell ref="A15:A17"/>
    <mergeCell ref="B15:B17"/>
    <mergeCell ref="C15:C17"/>
    <mergeCell ref="D15:D17"/>
    <mergeCell ref="E15:E17"/>
    <mergeCell ref="M15:M17"/>
    <mergeCell ref="N15:N17"/>
    <mergeCell ref="J16:J17"/>
    <mergeCell ref="K15:K17"/>
    <mergeCell ref="L15:L17"/>
    <mergeCell ref="F15:J15"/>
    <mergeCell ref="I16:I17"/>
    <mergeCell ref="F16:H16"/>
  </mergeCells>
  <pageMargins left="0.7" right="0.7" top="0.75" bottom="0.75" header="0.3" footer="0.3"/>
  <pageSetup paperSize="9" scale="33"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6"/>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C1" s="900"/>
      <c r="J1" s="166" t="s">
        <v>700</v>
      </c>
    </row>
    <row r="2" spans="1:13" ht="33.75" customHeight="1">
      <c r="A2" s="1520" t="s">
        <v>671</v>
      </c>
      <c r="B2" s="1520"/>
      <c r="C2" s="1520"/>
      <c r="D2" s="901"/>
    </row>
    <row r="3" spans="1:13">
      <c r="A3" s="1476" t="s">
        <v>1</v>
      </c>
      <c r="B3" s="1527" t="s">
        <v>1039</v>
      </c>
      <c r="C3" s="1527"/>
      <c r="D3" s="901"/>
    </row>
    <row r="4" spans="1:13">
      <c r="A4" s="1477"/>
      <c r="B4" s="902" t="s">
        <v>653</v>
      </c>
      <c r="C4" s="903" t="s">
        <v>654</v>
      </c>
      <c r="D4" s="904"/>
    </row>
    <row r="5" spans="1:13" ht="51">
      <c r="A5" s="905" t="s">
        <v>672</v>
      </c>
      <c r="B5" s="906">
        <v>0</v>
      </c>
      <c r="C5" s="906">
        <f>30000*1.21</f>
        <v>36300</v>
      </c>
      <c r="D5" s="904"/>
    </row>
    <row r="6" spans="1:13" ht="98.1" customHeight="1">
      <c r="A6" s="1519" t="s">
        <v>1094</v>
      </c>
      <c r="B6" s="1519"/>
      <c r="C6" s="1519"/>
      <c r="D6" s="904"/>
    </row>
    <row r="7" spans="1:13">
      <c r="A7" s="1521"/>
      <c r="B7" s="1521"/>
      <c r="C7" s="1521"/>
    </row>
    <row r="10" spans="1:13">
      <c r="A10" s="1520" t="s">
        <v>671</v>
      </c>
      <c r="B10" s="1520"/>
      <c r="C10" s="1520"/>
      <c r="D10" s="1520"/>
      <c r="E10" s="1520"/>
      <c r="F10" s="1520"/>
      <c r="G10" s="1520"/>
      <c r="H10" s="1520"/>
      <c r="I10" s="1520"/>
      <c r="J10" s="1520"/>
      <c r="K10" s="1520"/>
    </row>
    <row r="11" spans="1:13" ht="51">
      <c r="A11" s="907"/>
      <c r="B11" s="908" t="s">
        <v>1</v>
      </c>
      <c r="C11" s="908" t="s">
        <v>2</v>
      </c>
      <c r="D11" s="902" t="s">
        <v>3</v>
      </c>
      <c r="E11" s="902" t="s">
        <v>655</v>
      </c>
      <c r="F11" s="902" t="s">
        <v>656</v>
      </c>
      <c r="G11" s="902" t="s">
        <v>657</v>
      </c>
      <c r="H11" s="902" t="s">
        <v>658</v>
      </c>
      <c r="I11" s="902" t="s">
        <v>659</v>
      </c>
      <c r="J11" s="902" t="s">
        <v>660</v>
      </c>
      <c r="K11" s="902" t="s">
        <v>661</v>
      </c>
    </row>
    <row r="12" spans="1:13">
      <c r="A12" s="1523" t="s">
        <v>663</v>
      </c>
      <c r="B12" s="1523" t="s">
        <v>672</v>
      </c>
      <c r="C12" s="1524"/>
      <c r="D12" s="1524"/>
      <c r="E12" s="908" t="s">
        <v>664</v>
      </c>
      <c r="F12" s="906">
        <v>1</v>
      </c>
      <c r="G12" s="906">
        <v>13950</v>
      </c>
      <c r="H12" s="906">
        <f>F12*G12</f>
        <v>13950</v>
      </c>
      <c r="I12" s="906">
        <v>21</v>
      </c>
      <c r="J12" s="906">
        <f>G12*1.21</f>
        <v>16879.5</v>
      </c>
      <c r="K12" s="906">
        <f>F12*J12</f>
        <v>16879.5</v>
      </c>
      <c r="M12" s="911"/>
    </row>
    <row r="13" spans="1:13">
      <c r="A13" s="1523"/>
      <c r="B13" s="1523"/>
      <c r="C13" s="1524"/>
      <c r="D13" s="1524"/>
      <c r="E13" s="908" t="s">
        <v>665</v>
      </c>
      <c r="F13" s="906">
        <v>1</v>
      </c>
      <c r="G13" s="906">
        <v>13950</v>
      </c>
      <c r="H13" s="906">
        <f t="shared" ref="H13:H14" si="0">F13*G13</f>
        <v>13950</v>
      </c>
      <c r="I13" s="906">
        <v>21</v>
      </c>
      <c r="J13" s="906">
        <f t="shared" ref="J13:J14" si="1">G13*1.21</f>
        <v>16879.5</v>
      </c>
      <c r="K13" s="906">
        <f t="shared" ref="K13:K14" si="2">F13*J13</f>
        <v>16879.5</v>
      </c>
      <c r="M13" s="911"/>
    </row>
    <row r="14" spans="1:13" ht="63.75" customHeight="1">
      <c r="A14" s="1523"/>
      <c r="B14" s="1523"/>
      <c r="C14" s="1524"/>
      <c r="D14" s="1524"/>
      <c r="E14" s="908" t="s">
        <v>666</v>
      </c>
      <c r="F14" s="906">
        <v>3</v>
      </c>
      <c r="G14" s="906">
        <v>700</v>
      </c>
      <c r="H14" s="906">
        <f t="shared" si="0"/>
        <v>2100</v>
      </c>
      <c r="I14" s="906">
        <v>21</v>
      </c>
      <c r="J14" s="906">
        <f t="shared" si="1"/>
        <v>847</v>
      </c>
      <c r="K14" s="906">
        <f t="shared" si="2"/>
        <v>2541</v>
      </c>
      <c r="M14" s="911"/>
    </row>
    <row r="15" spans="1:13">
      <c r="A15" s="487"/>
      <c r="B15" s="487"/>
      <c r="C15" s="487"/>
      <c r="D15" s="487"/>
      <c r="E15" s="487"/>
      <c r="F15" s="487"/>
      <c r="G15" s="487"/>
      <c r="H15" s="912">
        <f>SUM(H12:H14)</f>
        <v>30000</v>
      </c>
      <c r="I15" s="487"/>
      <c r="J15" s="912"/>
      <c r="K15" s="906">
        <f>SUM(K12:K14)</f>
        <v>36300</v>
      </c>
    </row>
    <row r="16" spans="1:13" ht="57" customHeight="1">
      <c r="A16" s="1519" t="s">
        <v>1094</v>
      </c>
      <c r="B16" s="1519"/>
      <c r="C16" s="1519"/>
      <c r="D16" s="1519"/>
      <c r="E16" s="1519"/>
      <c r="F16" s="1519"/>
      <c r="G16" s="1519"/>
      <c r="H16" s="1519"/>
      <c r="I16" s="1519"/>
      <c r="J16" s="1519"/>
      <c r="K16" s="1519"/>
    </row>
  </sheetData>
  <mergeCells count="11">
    <mergeCell ref="A16:K16"/>
    <mergeCell ref="A2:C2"/>
    <mergeCell ref="A3:A4"/>
    <mergeCell ref="B3:C3"/>
    <mergeCell ref="A6:C6"/>
    <mergeCell ref="A7:C7"/>
    <mergeCell ref="A10:K10"/>
    <mergeCell ref="A12:A14"/>
    <mergeCell ref="B12:B14"/>
    <mergeCell ref="C12:C14"/>
    <mergeCell ref="D12:D14"/>
  </mergeCells>
  <pageMargins left="0.7" right="0.7" top="0.75" bottom="0.75" header="0.3" footer="0.3"/>
  <pageSetup paperSize="9" scale="46" orientation="portrait" verticalDpi="3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K26"/>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1">
      <c r="B1" s="900"/>
      <c r="C1" s="900"/>
      <c r="J1" s="166" t="s">
        <v>702</v>
      </c>
    </row>
    <row r="2" spans="1:11" ht="33.75" customHeight="1">
      <c r="A2" s="1520" t="s">
        <v>97</v>
      </c>
      <c r="B2" s="1520"/>
      <c r="C2" s="1520"/>
      <c r="D2" s="901"/>
    </row>
    <row r="3" spans="1:11">
      <c r="A3" s="1476" t="s">
        <v>1</v>
      </c>
      <c r="B3" s="1527" t="s">
        <v>1039</v>
      </c>
      <c r="C3" s="1527"/>
      <c r="D3" s="901"/>
    </row>
    <row r="4" spans="1:11">
      <c r="A4" s="1477"/>
      <c r="B4" s="902" t="s">
        <v>653</v>
      </c>
      <c r="C4" s="903" t="s">
        <v>654</v>
      </c>
      <c r="D4" s="904"/>
    </row>
    <row r="5" spans="1:11" ht="38.25">
      <c r="A5" s="905" t="s">
        <v>97</v>
      </c>
      <c r="B5" s="906">
        <v>0</v>
      </c>
      <c r="C5" s="906">
        <f>27900*1.21</f>
        <v>33759</v>
      </c>
      <c r="D5" s="904"/>
    </row>
    <row r="6" spans="1:11" ht="89.45" customHeight="1">
      <c r="A6" s="1519" t="s">
        <v>1094</v>
      </c>
      <c r="B6" s="1519"/>
      <c r="C6" s="1519"/>
      <c r="D6" s="904"/>
    </row>
    <row r="9" spans="1:11">
      <c r="A9" s="1520" t="s">
        <v>97</v>
      </c>
      <c r="B9" s="1520"/>
      <c r="C9" s="1520"/>
      <c r="D9" s="1520"/>
      <c r="E9" s="1520"/>
      <c r="F9" s="1520"/>
      <c r="G9" s="1520"/>
      <c r="H9" s="1520"/>
      <c r="I9" s="1520"/>
      <c r="J9" s="1520"/>
      <c r="K9" s="1520"/>
    </row>
    <row r="10" spans="1:11" ht="51">
      <c r="A10" s="907"/>
      <c r="B10" s="908" t="s">
        <v>1</v>
      </c>
      <c r="C10" s="908" t="s">
        <v>2</v>
      </c>
      <c r="D10" s="902" t="s">
        <v>3</v>
      </c>
      <c r="E10" s="902" t="s">
        <v>655</v>
      </c>
      <c r="F10" s="902" t="s">
        <v>656</v>
      </c>
      <c r="G10" s="902" t="s">
        <v>657</v>
      </c>
      <c r="H10" s="902" t="s">
        <v>658</v>
      </c>
      <c r="I10" s="902" t="s">
        <v>659</v>
      </c>
      <c r="J10" s="902" t="s">
        <v>660</v>
      </c>
      <c r="K10" s="902" t="s">
        <v>661</v>
      </c>
    </row>
    <row r="11" spans="1:11">
      <c r="A11" s="1544" t="s">
        <v>663</v>
      </c>
      <c r="B11" s="1544" t="s">
        <v>667</v>
      </c>
      <c r="C11" s="1546"/>
      <c r="D11" s="1546"/>
      <c r="E11" s="908" t="s">
        <v>664</v>
      </c>
      <c r="F11" s="906">
        <v>1</v>
      </c>
      <c r="G11" s="906">
        <v>13950</v>
      </c>
      <c r="H11" s="906">
        <f>F11*G11</f>
        <v>13950</v>
      </c>
      <c r="I11" s="906">
        <v>21</v>
      </c>
      <c r="J11" s="906">
        <f>G11*1.21</f>
        <v>16879.5</v>
      </c>
      <c r="K11" s="906">
        <f>F11*J11</f>
        <v>16879.5</v>
      </c>
    </row>
    <row r="12" spans="1:11">
      <c r="A12" s="1545"/>
      <c r="B12" s="1545"/>
      <c r="C12" s="1547"/>
      <c r="D12" s="1547"/>
      <c r="E12" s="908" t="s">
        <v>665</v>
      </c>
      <c r="F12" s="906">
        <v>1</v>
      </c>
      <c r="G12" s="906">
        <v>13950</v>
      </c>
      <c r="H12" s="906">
        <f t="shared" ref="H12" si="0">F12*G12</f>
        <v>13950</v>
      </c>
      <c r="I12" s="906">
        <v>21</v>
      </c>
      <c r="J12" s="906">
        <f t="shared" ref="J12" si="1">G12*1.21</f>
        <v>16879.5</v>
      </c>
      <c r="K12" s="906">
        <f t="shared" ref="K12" si="2">F12*J12</f>
        <v>16879.5</v>
      </c>
    </row>
    <row r="13" spans="1:11">
      <c r="A13" s="487"/>
      <c r="B13" s="487"/>
      <c r="C13" s="487"/>
      <c r="D13" s="487"/>
      <c r="E13" s="487"/>
      <c r="F13" s="487"/>
      <c r="G13" s="487"/>
      <c r="H13" s="912">
        <f>SUM(H11:H12)</f>
        <v>27900</v>
      </c>
      <c r="I13" s="487"/>
      <c r="J13" s="912"/>
      <c r="K13" s="906">
        <f>SUM(K11:K12)</f>
        <v>33759</v>
      </c>
    </row>
    <row r="14" spans="1:11" ht="54.95" customHeight="1">
      <c r="A14" s="1519" t="s">
        <v>1094</v>
      </c>
      <c r="B14" s="1519"/>
      <c r="C14" s="1519"/>
      <c r="D14" s="1519"/>
      <c r="E14" s="1519"/>
      <c r="F14" s="1519"/>
      <c r="G14" s="1519"/>
      <c r="H14" s="1519"/>
      <c r="I14" s="1519"/>
      <c r="J14" s="1519"/>
      <c r="K14" s="1519"/>
    </row>
    <row r="26" spans="2:2">
      <c r="B26" s="166" t="s">
        <v>673</v>
      </c>
    </row>
  </sheetData>
  <mergeCells count="10">
    <mergeCell ref="A14:K14"/>
    <mergeCell ref="A2:C2"/>
    <mergeCell ref="A3:A4"/>
    <mergeCell ref="B3:C3"/>
    <mergeCell ref="A6:C6"/>
    <mergeCell ref="A9:K9"/>
    <mergeCell ref="A11:A12"/>
    <mergeCell ref="B11:B12"/>
    <mergeCell ref="C11:C12"/>
    <mergeCell ref="D11:D12"/>
  </mergeCells>
  <pageMargins left="0.7" right="0.7" top="0.75" bottom="0.75" header="0.3" footer="0.3"/>
  <pageSetup paperSize="9" scale="44" orientation="portrait" verticalDpi="30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3"/>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5" width="10" style="166" customWidth="1"/>
    <col min="6" max="16384" width="9.125" style="166"/>
  </cols>
  <sheetData>
    <row r="1" spans="1:13">
      <c r="B1" s="900"/>
      <c r="C1" s="900"/>
      <c r="J1" s="166" t="s">
        <v>983</v>
      </c>
    </row>
    <row r="2" spans="1:13" ht="35.25" customHeight="1">
      <c r="A2" s="1520" t="s">
        <v>674</v>
      </c>
      <c r="B2" s="1520"/>
      <c r="C2" s="1520"/>
      <c r="D2" s="901"/>
    </row>
    <row r="3" spans="1:13">
      <c r="A3" s="1476" t="s">
        <v>1</v>
      </c>
      <c r="B3" s="1527" t="s">
        <v>1039</v>
      </c>
      <c r="C3" s="1527"/>
      <c r="D3" s="901"/>
    </row>
    <row r="4" spans="1:13">
      <c r="A4" s="1477"/>
      <c r="B4" s="902" t="s">
        <v>653</v>
      </c>
      <c r="C4" s="903" t="s">
        <v>654</v>
      </c>
      <c r="D4" s="904"/>
    </row>
    <row r="5" spans="1:13" ht="25.5">
      <c r="A5" s="905" t="s">
        <v>675</v>
      </c>
      <c r="B5" s="906">
        <f>15000*1.21</f>
        <v>18150</v>
      </c>
      <c r="C5" s="488">
        <v>0</v>
      </c>
      <c r="D5" s="904"/>
    </row>
    <row r="6" spans="1:13" ht="95.45" customHeight="1">
      <c r="A6" s="1519" t="s">
        <v>1094</v>
      </c>
      <c r="B6" s="1519"/>
      <c r="C6" s="1519"/>
      <c r="D6" s="904"/>
    </row>
    <row r="7" spans="1:13">
      <c r="A7" s="1521"/>
      <c r="B7" s="1521"/>
      <c r="C7" s="1521"/>
    </row>
    <row r="9" spans="1:13">
      <c r="A9" s="1520" t="s">
        <v>674</v>
      </c>
      <c r="B9" s="1520"/>
      <c r="C9" s="1520"/>
      <c r="D9" s="1520"/>
      <c r="E9" s="1520"/>
      <c r="F9" s="1520"/>
      <c r="G9" s="1520"/>
      <c r="H9" s="1520"/>
      <c r="I9" s="1520"/>
      <c r="J9" s="1520"/>
      <c r="K9" s="1520"/>
    </row>
    <row r="10" spans="1:13" ht="51">
      <c r="A10" s="907"/>
      <c r="B10" s="908" t="s">
        <v>1</v>
      </c>
      <c r="C10" s="908" t="s">
        <v>2</v>
      </c>
      <c r="D10" s="902" t="s">
        <v>3</v>
      </c>
      <c r="E10" s="902" t="s">
        <v>655</v>
      </c>
      <c r="F10" s="902" t="s">
        <v>656</v>
      </c>
      <c r="G10" s="902" t="s">
        <v>657</v>
      </c>
      <c r="H10" s="902" t="s">
        <v>658</v>
      </c>
      <c r="I10" s="902" t="s">
        <v>659</v>
      </c>
      <c r="J10" s="902" t="s">
        <v>660</v>
      </c>
      <c r="K10" s="902" t="s">
        <v>661</v>
      </c>
    </row>
    <row r="11" spans="1:13" ht="59.25" customHeight="1">
      <c r="A11" s="909" t="s">
        <v>676</v>
      </c>
      <c r="B11" s="905" t="s">
        <v>675</v>
      </c>
      <c r="C11" s="910"/>
      <c r="D11" s="910"/>
      <c r="E11" s="902" t="s">
        <v>676</v>
      </c>
      <c r="F11" s="906">
        <v>1</v>
      </c>
      <c r="G11" s="906">
        <v>15000</v>
      </c>
      <c r="H11" s="906">
        <f>F11*G11</f>
        <v>15000</v>
      </c>
      <c r="I11" s="906">
        <v>21</v>
      </c>
      <c r="J11" s="906">
        <f>G11*1.21</f>
        <v>18150</v>
      </c>
      <c r="K11" s="906">
        <f>F11*J11</f>
        <v>18150</v>
      </c>
      <c r="M11" s="911"/>
    </row>
    <row r="12" spans="1:13">
      <c r="A12" s="487"/>
      <c r="B12" s="487"/>
      <c r="C12" s="487"/>
      <c r="D12" s="487"/>
      <c r="E12" s="487"/>
      <c r="F12" s="487"/>
      <c r="G12" s="487"/>
      <c r="H12" s="912">
        <f>SUM(H11:H11)</f>
        <v>15000</v>
      </c>
      <c r="I12" s="487"/>
      <c r="J12" s="912"/>
      <c r="K12" s="906">
        <f>SUM(K11:K11)</f>
        <v>18150</v>
      </c>
    </row>
    <row r="13" spans="1:13" ht="64.5" customHeight="1">
      <c r="A13" s="1519" t="s">
        <v>1094</v>
      </c>
      <c r="B13" s="1519"/>
      <c r="C13" s="1519"/>
      <c r="D13" s="1519"/>
      <c r="E13" s="1519"/>
      <c r="F13" s="1519"/>
      <c r="G13" s="1519"/>
      <c r="H13" s="1519"/>
      <c r="I13" s="1519"/>
      <c r="J13" s="1519"/>
      <c r="K13" s="1519"/>
    </row>
  </sheetData>
  <mergeCells count="7">
    <mergeCell ref="A9:K9"/>
    <mergeCell ref="A13:K13"/>
    <mergeCell ref="A2:C2"/>
    <mergeCell ref="A3:A4"/>
    <mergeCell ref="B3:C3"/>
    <mergeCell ref="A6:C6"/>
    <mergeCell ref="A7:C7"/>
  </mergeCells>
  <pageMargins left="0.7" right="0.7" top="0.75" bottom="0.75" header="0.3" footer="0.3"/>
  <pageSetup paperSize="9" scale="44" orientation="portrait" verticalDpi="3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P27"/>
  <sheetViews>
    <sheetView zoomScaleNormal="100" workbookViewId="0">
      <selection activeCell="A4" sqref="A4:B5"/>
    </sheetView>
  </sheetViews>
  <sheetFormatPr defaultColWidth="8.875" defaultRowHeight="15.75"/>
  <cols>
    <col min="1" max="1" width="8.875" style="67"/>
    <col min="2" max="2" width="36.875" style="67" customWidth="1"/>
    <col min="3" max="3" width="23" style="67" customWidth="1"/>
    <col min="4" max="4" width="14.875" style="67" customWidth="1"/>
    <col min="5" max="5" width="18.875" style="67" customWidth="1"/>
    <col min="6" max="6" width="13.875" style="67" customWidth="1"/>
    <col min="7" max="7" width="10.875" style="67" customWidth="1"/>
    <col min="8" max="9" width="11.25" style="67" customWidth="1"/>
    <col min="10" max="10" width="12.5" style="67" customWidth="1"/>
    <col min="11" max="11" width="13.125" style="67" customWidth="1"/>
    <col min="12" max="12" width="16.125" style="67" customWidth="1"/>
    <col min="13" max="13" width="46" style="67" customWidth="1"/>
    <col min="14" max="16384" width="8.875" style="67"/>
  </cols>
  <sheetData>
    <row r="1" spans="1:16">
      <c r="M1" s="294" t="s">
        <v>703</v>
      </c>
    </row>
    <row r="2" spans="1:16" ht="51" customHeight="1">
      <c r="B2" s="1647" t="s">
        <v>706</v>
      </c>
      <c r="C2" s="1647"/>
      <c r="D2" s="1647"/>
      <c r="E2" s="1647"/>
      <c r="F2" s="1647"/>
      <c r="G2" s="1647"/>
      <c r="H2" s="1647"/>
      <c r="I2" s="1647"/>
      <c r="J2" s="1647"/>
      <c r="K2" s="1647"/>
      <c r="L2" s="1647"/>
    </row>
    <row r="4" spans="1:16">
      <c r="A4" s="1623" t="s">
        <v>159</v>
      </c>
      <c r="B4" s="1623"/>
      <c r="C4" s="1655" t="s">
        <v>181</v>
      </c>
      <c r="D4" s="1655"/>
      <c r="E4" s="1623" t="s">
        <v>1048</v>
      </c>
      <c r="F4" s="1623" t="s">
        <v>1049</v>
      </c>
      <c r="G4" s="1623" t="s">
        <v>1050</v>
      </c>
      <c r="H4" s="1623"/>
      <c r="I4" s="1623" t="s">
        <v>1051</v>
      </c>
      <c r="J4" s="1623"/>
    </row>
    <row r="5" spans="1:16" ht="145.15" customHeight="1">
      <c r="A5" s="1623"/>
      <c r="B5" s="1623"/>
      <c r="C5" s="177" t="s">
        <v>10</v>
      </c>
      <c r="D5" s="177" t="s">
        <v>392</v>
      </c>
      <c r="E5" s="1623"/>
      <c r="F5" s="1623"/>
      <c r="G5" s="1623"/>
      <c r="H5" s="1623"/>
      <c r="I5" s="1623"/>
      <c r="J5" s="1623"/>
    </row>
    <row r="6" spans="1:16" ht="26.25" customHeight="1">
      <c r="A6" s="1639" t="s">
        <v>393</v>
      </c>
      <c r="B6" s="1639"/>
      <c r="C6" s="810">
        <f>SUM(C12+C15+C16)</f>
        <v>50482521.75</v>
      </c>
      <c r="D6" s="810">
        <f>SUM(C12+C15+C16)</f>
        <v>50482521.75</v>
      </c>
      <c r="E6" s="511">
        <f>SUM(J19)</f>
        <v>14839079.67</v>
      </c>
      <c r="F6" s="511">
        <f>SUM(K19)</f>
        <v>15820017.970000001</v>
      </c>
      <c r="G6" s="1642">
        <f t="shared" ref="E6:G7" si="0">SUM(L19)</f>
        <v>15898466.550000001</v>
      </c>
      <c r="H6" s="1643"/>
      <c r="I6" s="1642">
        <f>SUM(L19)</f>
        <v>15898466.550000001</v>
      </c>
      <c r="J6" s="1646"/>
    </row>
    <row r="7" spans="1:16" ht="26.25" customHeight="1">
      <c r="A7" s="1639" t="s">
        <v>70</v>
      </c>
      <c r="B7" s="1639"/>
      <c r="C7" s="810">
        <f>SUM(C17)</f>
        <v>1112175</v>
      </c>
      <c r="D7" s="810">
        <v>1362519</v>
      </c>
      <c r="E7" s="511">
        <f t="shared" si="0"/>
        <v>0</v>
      </c>
      <c r="F7" s="511">
        <f t="shared" si="0"/>
        <v>0</v>
      </c>
      <c r="G7" s="1642">
        <f t="shared" si="0"/>
        <v>0</v>
      </c>
      <c r="H7" s="1643"/>
      <c r="I7" s="1642">
        <f>SUM(L20)</f>
        <v>0</v>
      </c>
      <c r="J7" s="1646"/>
    </row>
    <row r="10" spans="1:16" ht="32.25" customHeight="1">
      <c r="A10" s="1641"/>
      <c r="B10" s="1644" t="s">
        <v>1</v>
      </c>
      <c r="C10" s="1640" t="s">
        <v>394</v>
      </c>
      <c r="D10" s="1645" t="s">
        <v>395</v>
      </c>
      <c r="E10" s="1645" t="s">
        <v>396</v>
      </c>
      <c r="F10" s="1645" t="s">
        <v>397</v>
      </c>
      <c r="G10" s="1645" t="s">
        <v>203</v>
      </c>
      <c r="H10" s="1645"/>
      <c r="I10" s="1645"/>
      <c r="J10" s="1645" t="s">
        <v>1052</v>
      </c>
      <c r="K10" s="1645"/>
      <c r="L10" s="1645"/>
      <c r="M10" s="1638" t="s">
        <v>203</v>
      </c>
      <c r="N10" s="3"/>
    </row>
    <row r="11" spans="1:16" ht="15.6" customHeight="1">
      <c r="A11" s="1641"/>
      <c r="B11" s="1644"/>
      <c r="C11" s="1640"/>
      <c r="D11" s="1645"/>
      <c r="E11" s="1645"/>
      <c r="F11" s="1645"/>
      <c r="G11" s="792">
        <v>2027</v>
      </c>
      <c r="H11" s="792">
        <v>2028</v>
      </c>
      <c r="I11" s="792">
        <v>2029</v>
      </c>
      <c r="J11" s="792">
        <v>2027</v>
      </c>
      <c r="K11" s="792">
        <v>2028</v>
      </c>
      <c r="L11" s="792">
        <v>2029</v>
      </c>
      <c r="M11" s="1638"/>
      <c r="N11" s="3"/>
    </row>
    <row r="12" spans="1:16" s="743" customFormat="1" ht="81" customHeight="1">
      <c r="A12" s="789" t="s">
        <v>398</v>
      </c>
      <c r="B12" s="759" t="s">
        <v>399</v>
      </c>
      <c r="C12" s="1654">
        <v>12162112.75</v>
      </c>
      <c r="D12" s="747" t="s">
        <v>400</v>
      </c>
      <c r="E12" s="748">
        <v>1</v>
      </c>
      <c r="F12" s="740">
        <v>80.97</v>
      </c>
      <c r="G12" s="744">
        <f>3500*0.5</f>
        <v>1750</v>
      </c>
      <c r="H12" s="744">
        <f>3500</f>
        <v>3500</v>
      </c>
      <c r="I12" s="744">
        <f>3500</f>
        <v>3500</v>
      </c>
      <c r="J12" s="741">
        <f t="shared" ref="J12:J17" si="1">SUM(G12*F12)</f>
        <v>141697.5</v>
      </c>
      <c r="K12" s="741">
        <f t="shared" ref="K12:K17" si="2">SUM(H12*F12)</f>
        <v>283395</v>
      </c>
      <c r="L12" s="741">
        <f t="shared" ref="L12:L17" si="3">SUM(I12*F12)</f>
        <v>283395</v>
      </c>
      <c r="M12" s="790" t="s">
        <v>850</v>
      </c>
      <c r="N12" s="742"/>
      <c r="O12" s="742"/>
      <c r="P12" s="742"/>
    </row>
    <row r="13" spans="1:16" s="750" customFormat="1" ht="86.25" customHeight="1">
      <c r="A13" s="768" t="s">
        <v>401</v>
      </c>
      <c r="B13" s="783" t="s">
        <v>402</v>
      </c>
      <c r="C13" s="1654"/>
      <c r="D13" s="747" t="s">
        <v>403</v>
      </c>
      <c r="E13" s="748">
        <v>1</v>
      </c>
      <c r="F13" s="752">
        <v>161.94999999999999</v>
      </c>
      <c r="G13" s="744">
        <f>2422*0.4</f>
        <v>968.80000000000007</v>
      </c>
      <c r="H13" s="744">
        <f>2422*0.6</f>
        <v>1453.2</v>
      </c>
      <c r="I13" s="744">
        <f>2422*0.8</f>
        <v>1937.6000000000001</v>
      </c>
      <c r="J13" s="751">
        <f t="shared" si="1"/>
        <v>156897.16</v>
      </c>
      <c r="K13" s="751">
        <f t="shared" si="2"/>
        <v>235345.74</v>
      </c>
      <c r="L13" s="785">
        <f t="shared" si="3"/>
        <v>313794.32</v>
      </c>
      <c r="M13" s="824" t="s">
        <v>851</v>
      </c>
      <c r="N13" s="749"/>
    </row>
    <row r="14" spans="1:16" s="743" customFormat="1" ht="72.75" customHeight="1">
      <c r="A14" s="782" t="s">
        <v>404</v>
      </c>
      <c r="B14" s="781" t="s">
        <v>758</v>
      </c>
      <c r="C14" s="1654"/>
      <c r="D14" s="747" t="s">
        <v>405</v>
      </c>
      <c r="E14" s="748">
        <v>1</v>
      </c>
      <c r="F14" s="740">
        <v>323.89</v>
      </c>
      <c r="G14" s="747">
        <v>475</v>
      </c>
      <c r="H14" s="747">
        <v>949</v>
      </c>
      <c r="I14" s="747">
        <v>949</v>
      </c>
      <c r="J14" s="741">
        <f t="shared" si="1"/>
        <v>153847.75</v>
      </c>
      <c r="K14" s="741">
        <f t="shared" si="2"/>
        <v>307371.61</v>
      </c>
      <c r="L14" s="784">
        <f t="shared" si="3"/>
        <v>307371.61</v>
      </c>
      <c r="M14" s="786" t="s">
        <v>852</v>
      </c>
      <c r="N14" s="594"/>
    </row>
    <row r="15" spans="1:16" s="743" customFormat="1" ht="72" customHeight="1">
      <c r="A15" s="769" t="s">
        <v>102</v>
      </c>
      <c r="B15" s="788" t="s">
        <v>760</v>
      </c>
      <c r="C15" s="787">
        <v>0</v>
      </c>
      <c r="D15" s="758" t="s">
        <v>405</v>
      </c>
      <c r="E15" s="756">
        <v>0.75</v>
      </c>
      <c r="F15" s="757">
        <v>153.08000000000001</v>
      </c>
      <c r="G15" s="744">
        <f>7934*0.5</f>
        <v>3967</v>
      </c>
      <c r="H15" s="744">
        <v>7934</v>
      </c>
      <c r="I15" s="744">
        <v>7934</v>
      </c>
      <c r="J15" s="741">
        <f t="shared" si="1"/>
        <v>607268.3600000001</v>
      </c>
      <c r="K15" s="741">
        <f t="shared" si="2"/>
        <v>1214536.7200000002</v>
      </c>
      <c r="L15" s="741">
        <f t="shared" si="3"/>
        <v>1214536.7200000002</v>
      </c>
      <c r="M15" s="755" t="s">
        <v>853</v>
      </c>
      <c r="N15" s="754"/>
    </row>
    <row r="16" spans="1:16" s="743" customFormat="1" ht="79.5" customHeight="1">
      <c r="A16" s="767" t="s">
        <v>103</v>
      </c>
      <c r="B16" s="753" t="s">
        <v>406</v>
      </c>
      <c r="C16" s="773">
        <v>38320409</v>
      </c>
      <c r="D16" s="758" t="s">
        <v>405</v>
      </c>
      <c r="E16" s="748">
        <v>1</v>
      </c>
      <c r="F16" s="752">
        <v>25.32</v>
      </c>
      <c r="G16" s="741">
        <v>504420</v>
      </c>
      <c r="H16" s="741">
        <v>504420</v>
      </c>
      <c r="I16" s="741">
        <v>504420</v>
      </c>
      <c r="J16" s="741">
        <f t="shared" si="1"/>
        <v>12771914.4</v>
      </c>
      <c r="K16" s="741">
        <f t="shared" si="2"/>
        <v>12771914.4</v>
      </c>
      <c r="L16" s="741">
        <f t="shared" si="3"/>
        <v>12771914.4</v>
      </c>
      <c r="M16" s="755" t="s">
        <v>407</v>
      </c>
      <c r="N16" s="594"/>
    </row>
    <row r="17" spans="1:14" s="746" customFormat="1" ht="69" customHeight="1">
      <c r="A17" s="770" t="s">
        <v>104</v>
      </c>
      <c r="B17" s="761" t="s">
        <v>107</v>
      </c>
      <c r="C17" s="1651">
        <v>1112175</v>
      </c>
      <c r="D17" s="762"/>
      <c r="E17" s="763">
        <v>1</v>
      </c>
      <c r="F17" s="697">
        <v>1549.93</v>
      </c>
      <c r="G17" s="764">
        <v>150</v>
      </c>
      <c r="H17" s="764">
        <v>150</v>
      </c>
      <c r="I17" s="764">
        <v>150</v>
      </c>
      <c r="J17" s="765">
        <f t="shared" si="1"/>
        <v>232489.5</v>
      </c>
      <c r="K17" s="765">
        <f t="shared" si="2"/>
        <v>232489.5</v>
      </c>
      <c r="L17" s="765">
        <f t="shared" si="3"/>
        <v>232489.5</v>
      </c>
      <c r="M17" s="771" t="s">
        <v>408</v>
      </c>
      <c r="N17" s="745"/>
    </row>
    <row r="18" spans="1:14" s="760" customFormat="1" ht="94.5" customHeight="1">
      <c r="A18" s="774" t="s">
        <v>105</v>
      </c>
      <c r="B18" s="772" t="s">
        <v>409</v>
      </c>
      <c r="C18" s="1652"/>
      <c r="D18" s="775" t="s">
        <v>31</v>
      </c>
      <c r="E18" s="776">
        <v>1</v>
      </c>
      <c r="F18" s="777">
        <v>1549.93</v>
      </c>
      <c r="G18" s="778">
        <v>500</v>
      </c>
      <c r="H18" s="778">
        <v>500</v>
      </c>
      <c r="I18" s="778">
        <v>500</v>
      </c>
      <c r="J18" s="779">
        <f>SUM(G18*F18)</f>
        <v>774965</v>
      </c>
      <c r="K18" s="779">
        <f>SUM(H18*F18)</f>
        <v>774965</v>
      </c>
      <c r="L18" s="779">
        <f>SUM(I18*F18)</f>
        <v>774965</v>
      </c>
      <c r="M18" s="780" t="s">
        <v>408</v>
      </c>
      <c r="N18" s="766"/>
    </row>
    <row r="19" spans="1:14" s="823" customFormat="1">
      <c r="A19" s="1653" t="s">
        <v>170</v>
      </c>
      <c r="B19" s="1653"/>
      <c r="C19" s="820">
        <f>SUM(C12,C13,C14,C15,C16,C17,C18)</f>
        <v>51594696.75</v>
      </c>
      <c r="D19" s="821"/>
      <c r="E19" s="821"/>
      <c r="F19" s="821"/>
      <c r="G19" s="821"/>
      <c r="H19" s="821"/>
      <c r="I19" s="821"/>
      <c r="J19" s="820">
        <f>SUM(J12,J13,J14,J15,J16,J17,J18)</f>
        <v>14839079.67</v>
      </c>
      <c r="K19" s="820">
        <f>SUM(K12,K13,K14,K15,K16,K17,K18)</f>
        <v>15820017.970000001</v>
      </c>
      <c r="L19" s="820">
        <f>SUM(L12,L13,L14,L15,L16,L17,L18)</f>
        <v>15898466.550000001</v>
      </c>
      <c r="M19" s="821" t="s">
        <v>31</v>
      </c>
      <c r="N19" s="822"/>
    </row>
    <row r="20" spans="1:14">
      <c r="A20" s="3"/>
      <c r="B20" s="3"/>
      <c r="C20" s="3"/>
      <c r="D20" s="3"/>
      <c r="E20" s="3"/>
      <c r="F20" s="3"/>
      <c r="G20" s="3"/>
      <c r="H20" s="3"/>
      <c r="I20" s="3"/>
      <c r="J20" s="594"/>
      <c r="K20" s="3"/>
      <c r="L20" s="3"/>
      <c r="M20" s="3"/>
      <c r="N20" s="3"/>
    </row>
    <row r="21" spans="1:14">
      <c r="A21" s="3"/>
      <c r="B21" s="3"/>
      <c r="C21" s="3"/>
      <c r="D21" s="3"/>
      <c r="E21" s="3"/>
      <c r="F21" s="3"/>
      <c r="G21" s="3"/>
      <c r="H21" s="3"/>
      <c r="I21" s="3"/>
      <c r="J21" s="3"/>
      <c r="K21" s="3"/>
      <c r="L21" s="3"/>
      <c r="M21" s="3"/>
      <c r="N21" s="3"/>
    </row>
    <row r="23" spans="1:14">
      <c r="B23" s="811" t="s">
        <v>410</v>
      </c>
      <c r="C23" s="811"/>
      <c r="D23" s="811"/>
      <c r="E23" s="811"/>
    </row>
    <row r="24" spans="1:14" ht="77.25" customHeight="1">
      <c r="B24" s="812" t="s">
        <v>31</v>
      </c>
      <c r="C24" s="68" t="s">
        <v>411</v>
      </c>
      <c r="D24" s="817" t="s">
        <v>412</v>
      </c>
      <c r="E24" s="817" t="s">
        <v>413</v>
      </c>
    </row>
    <row r="25" spans="1:14">
      <c r="B25" s="813">
        <v>0.75</v>
      </c>
      <c r="C25" s="818">
        <v>504420</v>
      </c>
      <c r="D25" s="819" t="s">
        <v>414</v>
      </c>
      <c r="E25" s="814">
        <v>38320409</v>
      </c>
    </row>
    <row r="26" spans="1:14">
      <c r="B26" s="815">
        <v>1</v>
      </c>
      <c r="C26" s="818">
        <v>504420</v>
      </c>
      <c r="D26" s="819" t="s">
        <v>415</v>
      </c>
      <c r="E26" s="814">
        <v>51092702</v>
      </c>
    </row>
    <row r="27" spans="1:14">
      <c r="B27" s="1648" t="s">
        <v>416</v>
      </c>
      <c r="C27" s="1649"/>
      <c r="D27" s="1650"/>
      <c r="E27" s="816">
        <v>12772293</v>
      </c>
    </row>
  </sheetData>
  <mergeCells count="26">
    <mergeCell ref="B2:L2"/>
    <mergeCell ref="B27:D27"/>
    <mergeCell ref="C17:C18"/>
    <mergeCell ref="A19:B19"/>
    <mergeCell ref="A7:B7"/>
    <mergeCell ref="C12:C14"/>
    <mergeCell ref="J10:L10"/>
    <mergeCell ref="A4:B5"/>
    <mergeCell ref="C4:D4"/>
    <mergeCell ref="E4:E5"/>
    <mergeCell ref="F4:F5"/>
    <mergeCell ref="I4:J5"/>
    <mergeCell ref="G4:H5"/>
    <mergeCell ref="M10:M11"/>
    <mergeCell ref="A6:B6"/>
    <mergeCell ref="C10:C11"/>
    <mergeCell ref="A10:A11"/>
    <mergeCell ref="G6:H6"/>
    <mergeCell ref="G7:H7"/>
    <mergeCell ref="B10:B11"/>
    <mergeCell ref="D10:D11"/>
    <mergeCell ref="E10:E11"/>
    <mergeCell ref="F10:F11"/>
    <mergeCell ref="G10:I10"/>
    <mergeCell ref="I6:J6"/>
    <mergeCell ref="I7:J7"/>
  </mergeCells>
  <pageMargins left="0.7" right="0.7" top="0.75" bottom="0.75" header="0.3" footer="0.3"/>
  <pageSetup paperSize="9" scale="36" orientation="portrait" verticalDpi="0" r:id="rId1"/>
  <colBreaks count="1" manualBreakCount="1">
    <brk id="13" max="26"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3"/>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J1" s="900" t="s">
        <v>771</v>
      </c>
    </row>
    <row r="2" spans="1:13" ht="35.25" customHeight="1">
      <c r="A2" s="1520" t="s">
        <v>769</v>
      </c>
      <c r="B2" s="1520"/>
      <c r="C2" s="1520"/>
      <c r="D2" s="901"/>
    </row>
    <row r="3" spans="1:13">
      <c r="A3" s="1476" t="s">
        <v>1</v>
      </c>
      <c r="B3" s="1527" t="s">
        <v>1039</v>
      </c>
      <c r="C3" s="1527"/>
      <c r="D3" s="901"/>
    </row>
    <row r="4" spans="1:13">
      <c r="A4" s="1477"/>
      <c r="B4" s="902" t="s">
        <v>653</v>
      </c>
      <c r="C4" s="903" t="s">
        <v>654</v>
      </c>
      <c r="D4" s="904"/>
    </row>
    <row r="5" spans="1:13" ht="89.25">
      <c r="A5" s="905" t="s">
        <v>772</v>
      </c>
      <c r="B5" s="906">
        <v>0</v>
      </c>
      <c r="C5" s="488">
        <f>481500*1.21</f>
        <v>582615</v>
      </c>
      <c r="D5" s="904"/>
    </row>
    <row r="6" spans="1:13" ht="95.45" customHeight="1">
      <c r="A6" s="1519" t="s">
        <v>1094</v>
      </c>
      <c r="B6" s="1519"/>
      <c r="C6" s="1519"/>
      <c r="D6" s="904"/>
    </row>
    <row r="7" spans="1:13">
      <c r="A7" s="1521"/>
      <c r="B7" s="1521"/>
      <c r="C7" s="1521"/>
    </row>
    <row r="9" spans="1:13">
      <c r="A9" s="1520" t="s">
        <v>769</v>
      </c>
      <c r="B9" s="1520"/>
      <c r="C9" s="1520"/>
      <c r="D9" s="1520"/>
      <c r="E9" s="1520"/>
      <c r="F9" s="1520"/>
      <c r="G9" s="1520"/>
      <c r="H9" s="1520"/>
      <c r="I9" s="1520"/>
      <c r="J9" s="1520"/>
      <c r="K9" s="1520"/>
    </row>
    <row r="10" spans="1:13" ht="51">
      <c r="A10" s="907"/>
      <c r="B10" s="908" t="s">
        <v>1</v>
      </c>
      <c r="C10" s="908" t="s">
        <v>2</v>
      </c>
      <c r="D10" s="902" t="s">
        <v>3</v>
      </c>
      <c r="E10" s="902" t="s">
        <v>655</v>
      </c>
      <c r="F10" s="902" t="s">
        <v>656</v>
      </c>
      <c r="G10" s="902" t="s">
        <v>657</v>
      </c>
      <c r="H10" s="902" t="s">
        <v>658</v>
      </c>
      <c r="I10" s="902" t="s">
        <v>659</v>
      </c>
      <c r="J10" s="902" t="s">
        <v>660</v>
      </c>
      <c r="K10" s="902" t="s">
        <v>661</v>
      </c>
    </row>
    <row r="11" spans="1:13" ht="168.75" customHeight="1">
      <c r="A11" s="909" t="s">
        <v>770</v>
      </c>
      <c r="B11" s="905" t="s">
        <v>772</v>
      </c>
      <c r="C11" s="910"/>
      <c r="D11" s="910"/>
      <c r="E11" s="908" t="s">
        <v>770</v>
      </c>
      <c r="F11" s="906">
        <v>9</v>
      </c>
      <c r="G11" s="906">
        <v>53500</v>
      </c>
      <c r="H11" s="906">
        <f>F11*G11</f>
        <v>481500</v>
      </c>
      <c r="I11" s="906">
        <v>21</v>
      </c>
      <c r="J11" s="906">
        <f>G11*1.21</f>
        <v>64735</v>
      </c>
      <c r="K11" s="906">
        <f>F11*J11</f>
        <v>582615</v>
      </c>
      <c r="M11" s="911"/>
    </row>
    <row r="12" spans="1:13">
      <c r="A12" s="487"/>
      <c r="B12" s="487"/>
      <c r="C12" s="487"/>
      <c r="D12" s="487"/>
      <c r="E12" s="487"/>
      <c r="F12" s="487"/>
      <c r="G12" s="487"/>
      <c r="H12" s="912">
        <f>SUM(H11:H11)</f>
        <v>481500</v>
      </c>
      <c r="I12" s="487"/>
      <c r="J12" s="912"/>
      <c r="K12" s="906">
        <f>SUM(K11:K11)</f>
        <v>582615</v>
      </c>
    </row>
    <row r="13" spans="1:13" ht="53.1" customHeight="1">
      <c r="A13" s="1519" t="s">
        <v>1094</v>
      </c>
      <c r="B13" s="1519"/>
      <c r="C13" s="1519"/>
      <c r="D13" s="1519"/>
      <c r="E13" s="1519"/>
      <c r="F13" s="1519"/>
      <c r="G13" s="1519"/>
      <c r="H13" s="1519"/>
      <c r="I13" s="1519"/>
      <c r="J13" s="1519"/>
      <c r="K13" s="1519"/>
    </row>
  </sheetData>
  <mergeCells count="7">
    <mergeCell ref="A9:K9"/>
    <mergeCell ref="A13:K13"/>
    <mergeCell ref="A2:C2"/>
    <mergeCell ref="A3:A4"/>
    <mergeCell ref="B3:C3"/>
    <mergeCell ref="A6:C6"/>
    <mergeCell ref="A7:C7"/>
  </mergeCells>
  <pageMargins left="0.7" right="0.7" top="0.75" bottom="0.75" header="0.3" footer="0.3"/>
  <pageSetup paperSize="9" scale="46" orientation="portrait" verticalDpi="30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A69"/>
  <sheetViews>
    <sheetView view="pageBreakPreview" zoomScaleNormal="80" zoomScaleSheetLayoutView="100" workbookViewId="0">
      <selection activeCell="A4" sqref="A4"/>
    </sheetView>
  </sheetViews>
  <sheetFormatPr defaultRowHeight="15" customHeight="1"/>
  <cols>
    <col min="2" max="2" width="40.875" customWidth="1"/>
    <col min="3" max="3" width="31.125" customWidth="1"/>
    <col min="4" max="4" width="25.875" customWidth="1"/>
    <col min="5" max="5" width="20" customWidth="1"/>
    <col min="6" max="6" width="25.75" customWidth="1"/>
    <col min="7" max="7" width="14" customWidth="1"/>
    <col min="8" max="11" width="26" customWidth="1"/>
    <col min="12" max="12" width="17.75" customWidth="1"/>
    <col min="13" max="13" width="17.125" customWidth="1"/>
    <col min="14" max="15" width="19.125" customWidth="1"/>
    <col min="16" max="18" width="15.5" customWidth="1"/>
    <col min="19" max="21" width="14.25" customWidth="1"/>
    <col min="22" max="22" width="14.25" style="423" customWidth="1"/>
    <col min="23" max="23" width="14.25" customWidth="1"/>
    <col min="24" max="24" width="14.5" customWidth="1"/>
    <col min="25" max="26" width="15.5" customWidth="1"/>
  </cols>
  <sheetData>
    <row r="1" spans="1:27" ht="14.25">
      <c r="A1" s="1"/>
      <c r="B1" s="1"/>
      <c r="C1" s="1"/>
      <c r="D1" s="1"/>
      <c r="E1" s="1"/>
      <c r="F1" s="1"/>
      <c r="G1" s="1"/>
      <c r="H1" s="1"/>
      <c r="I1" s="1"/>
      <c r="J1" s="1"/>
      <c r="K1" s="1"/>
      <c r="L1" s="1"/>
      <c r="M1" s="1"/>
      <c r="N1" s="1"/>
      <c r="O1" s="1"/>
      <c r="P1" s="1"/>
      <c r="Q1" s="1"/>
      <c r="R1" s="1"/>
      <c r="S1" s="1"/>
      <c r="T1" s="1"/>
      <c r="U1" s="900" t="s">
        <v>779</v>
      </c>
      <c r="V1" s="477"/>
      <c r="W1" s="1"/>
      <c r="X1" s="1"/>
      <c r="Y1" s="1"/>
      <c r="Z1" s="1"/>
    </row>
    <row r="2" spans="1:27" ht="15.75">
      <c r="A2" s="1"/>
      <c r="B2" s="1658" t="s">
        <v>118</v>
      </c>
      <c r="C2" s="1658"/>
      <c r="D2" s="1658"/>
      <c r="E2" s="1658"/>
      <c r="F2" s="1658"/>
      <c r="G2" s="1658"/>
      <c r="H2" s="1658"/>
      <c r="I2" s="1"/>
      <c r="J2" s="1"/>
      <c r="K2" s="1"/>
      <c r="L2" s="1"/>
      <c r="M2" s="1"/>
      <c r="N2" s="315"/>
      <c r="O2" s="315"/>
      <c r="P2" s="1"/>
      <c r="Q2" s="1"/>
      <c r="R2" s="1"/>
      <c r="S2" s="1"/>
      <c r="T2" s="1"/>
      <c r="U2" s="1"/>
      <c r="V2" s="477"/>
      <c r="W2" s="1"/>
      <c r="X2" s="1"/>
      <c r="Y2" s="1"/>
      <c r="Z2" s="1"/>
    </row>
    <row r="3" spans="1:27" ht="14.25">
      <c r="A3" s="1"/>
      <c r="B3" s="1"/>
      <c r="C3" s="1"/>
      <c r="D3" s="1"/>
      <c r="E3" s="1"/>
      <c r="F3" s="1"/>
      <c r="G3" s="1"/>
      <c r="H3" s="1"/>
      <c r="I3" s="1"/>
      <c r="J3" s="1"/>
      <c r="K3" s="1"/>
      <c r="L3" s="1"/>
      <c r="M3" s="1"/>
      <c r="N3" s="1"/>
      <c r="O3" s="1"/>
      <c r="P3" s="1"/>
      <c r="Q3" s="1"/>
      <c r="R3" s="1"/>
      <c r="S3" s="1"/>
      <c r="T3" s="1"/>
      <c r="U3" s="477"/>
      <c r="V3" s="1"/>
      <c r="W3" s="1"/>
      <c r="X3" s="1"/>
    </row>
    <row r="4" spans="1:27" ht="75">
      <c r="A4" s="1"/>
      <c r="B4" s="4" t="s">
        <v>159</v>
      </c>
      <c r="C4" s="251" t="s">
        <v>181</v>
      </c>
      <c r="D4" s="5" t="s">
        <v>1013</v>
      </c>
      <c r="E4" s="5" t="s">
        <v>1053</v>
      </c>
      <c r="F4" s="1"/>
      <c r="G4" s="1"/>
      <c r="H4" s="1"/>
      <c r="I4" s="1"/>
      <c r="J4" s="1"/>
      <c r="K4" s="1"/>
      <c r="L4" s="1"/>
      <c r="M4" s="1"/>
      <c r="N4" s="1"/>
      <c r="O4" s="1"/>
      <c r="P4" s="1"/>
      <c r="Q4" s="1"/>
      <c r="R4" s="1"/>
      <c r="S4" s="1"/>
      <c r="T4" s="1"/>
      <c r="U4" s="1"/>
      <c r="V4" s="477"/>
      <c r="W4" s="1"/>
      <c r="X4" s="1"/>
      <c r="Y4" s="1"/>
    </row>
    <row r="5" spans="1:27" ht="30">
      <c r="A5" s="1"/>
      <c r="B5" s="16" t="s">
        <v>70</v>
      </c>
      <c r="C5" s="567">
        <f>ROUND(1476006.18,0)</f>
        <v>1476006</v>
      </c>
      <c r="D5" s="567">
        <f>Q44</f>
        <v>5174226.6720000003</v>
      </c>
      <c r="E5" s="567">
        <f>T44</f>
        <v>6039196</v>
      </c>
      <c r="F5" s="1"/>
      <c r="G5" s="1"/>
      <c r="H5" s="1"/>
      <c r="I5" s="1"/>
      <c r="J5" s="1"/>
      <c r="K5" s="1"/>
      <c r="L5" s="1"/>
      <c r="M5" s="1"/>
      <c r="N5" s="1"/>
      <c r="O5" s="1"/>
      <c r="P5" s="1"/>
      <c r="Q5" s="1"/>
      <c r="R5" s="1"/>
      <c r="S5" s="1"/>
      <c r="T5" s="1"/>
      <c r="U5" s="1"/>
      <c r="V5" s="477"/>
      <c r="W5" s="1"/>
      <c r="X5" s="1"/>
      <c r="Y5" s="1"/>
    </row>
    <row r="6" spans="1:27" ht="29.25" customHeight="1">
      <c r="A6" s="1"/>
      <c r="B6" s="575" t="s">
        <v>66</v>
      </c>
      <c r="C6" s="16">
        <v>0</v>
      </c>
      <c r="D6" s="574">
        <f>P44</f>
        <v>1580720.5859999999</v>
      </c>
      <c r="E6" s="574">
        <f>S44</f>
        <v>1831589.5999999999</v>
      </c>
      <c r="F6" s="1"/>
      <c r="G6" s="1"/>
      <c r="H6" s="1"/>
      <c r="I6" s="1"/>
      <c r="J6" s="1"/>
      <c r="K6" s="1"/>
      <c r="L6" s="1"/>
      <c r="M6" s="1"/>
      <c r="N6" s="1"/>
      <c r="T6" s="1"/>
      <c r="U6" s="1"/>
      <c r="V6" s="477"/>
      <c r="W6" s="1"/>
      <c r="X6" s="1"/>
      <c r="Y6" s="1"/>
    </row>
    <row r="7" spans="1:27" ht="45" customHeight="1">
      <c r="G7" s="1"/>
      <c r="H7" s="1"/>
      <c r="I7" s="1"/>
      <c r="J7" s="1"/>
      <c r="K7" s="1"/>
      <c r="L7" s="1"/>
      <c r="M7" s="1"/>
      <c r="N7" s="1"/>
      <c r="T7" s="1"/>
      <c r="U7" s="1"/>
      <c r="V7" s="477"/>
      <c r="W7" s="1"/>
      <c r="X7" s="1"/>
      <c r="Y7" s="1"/>
    </row>
    <row r="8" spans="1:27" ht="21" customHeight="1">
      <c r="B8" s="407" t="s">
        <v>31</v>
      </c>
      <c r="C8" s="408" t="s">
        <v>251</v>
      </c>
      <c r="D8" s="409" t="s">
        <v>252</v>
      </c>
      <c r="E8" s="409" t="s">
        <v>253</v>
      </c>
      <c r="F8" s="409" t="s">
        <v>254</v>
      </c>
      <c r="G8" s="410" t="s">
        <v>31</v>
      </c>
      <c r="H8" s="407" t="s">
        <v>31</v>
      </c>
      <c r="I8" s="407" t="s">
        <v>31</v>
      </c>
      <c r="J8" s="407"/>
      <c r="K8" s="407"/>
      <c r="L8" s="407" t="s">
        <v>31</v>
      </c>
      <c r="M8" s="1656" t="s">
        <v>272</v>
      </c>
      <c r="N8" s="1656" t="s">
        <v>273</v>
      </c>
      <c r="O8" s="1656" t="s">
        <v>274</v>
      </c>
      <c r="T8" s="1"/>
      <c r="U8" s="1"/>
      <c r="V8" s="477"/>
      <c r="W8" s="1"/>
      <c r="X8" s="1"/>
      <c r="Y8" s="1"/>
    </row>
    <row r="9" spans="1:27" ht="21" customHeight="1">
      <c r="B9" s="411" t="s">
        <v>255</v>
      </c>
      <c r="C9" s="412">
        <v>2304</v>
      </c>
      <c r="D9" s="413">
        <v>1388</v>
      </c>
      <c r="E9" s="413">
        <v>925</v>
      </c>
      <c r="F9" s="414" t="s">
        <v>31</v>
      </c>
      <c r="G9" s="407" t="s">
        <v>31</v>
      </c>
      <c r="H9" s="407" t="s">
        <v>31</v>
      </c>
      <c r="I9" s="407" t="s">
        <v>31</v>
      </c>
      <c r="J9" s="407"/>
      <c r="K9" s="407"/>
      <c r="L9" s="407" t="s">
        <v>31</v>
      </c>
      <c r="M9" s="1657"/>
      <c r="N9" s="1657"/>
      <c r="O9" s="1657"/>
      <c r="T9" s="1"/>
      <c r="U9" s="1"/>
      <c r="V9" s="477"/>
      <c r="W9" s="1"/>
      <c r="X9" s="1"/>
      <c r="Y9" s="1"/>
    </row>
    <row r="10" spans="1:27" ht="21" customHeight="1">
      <c r="B10" s="411" t="s">
        <v>256</v>
      </c>
      <c r="C10" s="415">
        <f>ROUND(C9/9600,4)</f>
        <v>0.24</v>
      </c>
      <c r="D10" s="415">
        <f>ROUND(D9/9600,4)</f>
        <v>0.14460000000000001</v>
      </c>
      <c r="E10" s="415">
        <f>ROUND(E9/9600,4)</f>
        <v>9.64E-2</v>
      </c>
      <c r="F10" s="414">
        <v>0.2359</v>
      </c>
      <c r="G10" s="407" t="s">
        <v>31</v>
      </c>
      <c r="H10" s="407" t="s">
        <v>31</v>
      </c>
      <c r="I10" s="407" t="s">
        <v>31</v>
      </c>
      <c r="J10" s="407"/>
      <c r="K10" s="407"/>
      <c r="L10" s="411" t="s">
        <v>275</v>
      </c>
      <c r="M10" s="416">
        <v>0.28570000000000001</v>
      </c>
      <c r="N10" s="417">
        <v>2.0199999999999999E-2</v>
      </c>
      <c r="O10" s="417">
        <v>3.2199999999999999E-2</v>
      </c>
      <c r="T10" s="1"/>
      <c r="U10" s="1"/>
      <c r="V10" s="477"/>
      <c r="W10" s="1"/>
      <c r="X10" s="1"/>
      <c r="Y10" s="1"/>
    </row>
    <row r="11" spans="1:27" ht="45" customHeight="1">
      <c r="A11" s="78"/>
      <c r="B11" s="595" t="s">
        <v>496</v>
      </c>
      <c r="C11" s="571"/>
      <c r="D11" s="570"/>
      <c r="E11" s="570"/>
      <c r="F11" s="78"/>
      <c r="G11" s="79"/>
      <c r="H11" s="79"/>
      <c r="L11" s="793"/>
      <c r="M11" s="793"/>
      <c r="N11" s="569"/>
      <c r="T11" s="1"/>
      <c r="U11" s="1"/>
      <c r="V11" s="477"/>
      <c r="W11" s="1"/>
      <c r="X11" s="1"/>
      <c r="Y11" s="1"/>
    </row>
    <row r="12" spans="1:27" ht="44.25" customHeight="1">
      <c r="A12" s="78"/>
      <c r="B12" s="1660" t="s">
        <v>183</v>
      </c>
      <c r="C12" s="1660" t="s">
        <v>182</v>
      </c>
      <c r="D12" s="1665" t="s">
        <v>276</v>
      </c>
      <c r="E12" s="1666"/>
      <c r="F12" s="1666"/>
      <c r="G12" s="1666"/>
      <c r="H12" s="1666"/>
      <c r="I12" s="1666"/>
      <c r="J12" s="1666"/>
      <c r="K12" s="1666"/>
      <c r="L12" s="1666"/>
      <c r="M12" s="1666"/>
      <c r="N12" s="1666"/>
      <c r="O12" s="1666"/>
      <c r="P12" s="1666"/>
      <c r="Q12" s="1666"/>
      <c r="R12" s="1661" t="s">
        <v>277</v>
      </c>
      <c r="S12" s="1661" t="s">
        <v>278</v>
      </c>
      <c r="T12" s="1661" t="s">
        <v>184</v>
      </c>
      <c r="Y12" s="1"/>
      <c r="Z12" s="1"/>
      <c r="AA12" s="1"/>
    </row>
    <row r="13" spans="1:27" ht="58.5" customHeight="1">
      <c r="A13" s="78"/>
      <c r="B13" s="1660"/>
      <c r="C13" s="1660"/>
      <c r="D13" s="1665" t="s">
        <v>279</v>
      </c>
      <c r="E13" s="1666"/>
      <c r="F13" s="1667"/>
      <c r="G13" s="1665" t="s">
        <v>280</v>
      </c>
      <c r="H13" s="1666"/>
      <c r="I13" s="1667"/>
      <c r="J13" s="1077" t="s">
        <v>281</v>
      </c>
      <c r="K13" s="1665" t="s">
        <v>282</v>
      </c>
      <c r="L13" s="1666"/>
      <c r="M13" s="1667"/>
      <c r="N13" s="1661" t="s">
        <v>283</v>
      </c>
      <c r="O13" s="1661" t="s">
        <v>284</v>
      </c>
      <c r="P13" s="1661" t="s">
        <v>285</v>
      </c>
      <c r="Q13" s="1661" t="s">
        <v>286</v>
      </c>
      <c r="R13" s="1674"/>
      <c r="S13" s="1674"/>
      <c r="T13" s="1674"/>
      <c r="Y13" s="1"/>
      <c r="Z13" s="1"/>
      <c r="AA13" s="1"/>
    </row>
    <row r="14" spans="1:27" ht="30">
      <c r="A14" s="78"/>
      <c r="B14" s="1661"/>
      <c r="C14" s="1661"/>
      <c r="D14" s="585" t="s">
        <v>287</v>
      </c>
      <c r="E14" s="585" t="s">
        <v>288</v>
      </c>
      <c r="F14" s="585" t="s">
        <v>289</v>
      </c>
      <c r="G14" s="585" t="s">
        <v>287</v>
      </c>
      <c r="H14" s="585" t="s">
        <v>288</v>
      </c>
      <c r="I14" s="585" t="s">
        <v>290</v>
      </c>
      <c r="J14" s="585" t="s">
        <v>291</v>
      </c>
      <c r="K14" s="586" t="s">
        <v>292</v>
      </c>
      <c r="L14" s="586" t="s">
        <v>293</v>
      </c>
      <c r="M14" s="586" t="s">
        <v>294</v>
      </c>
      <c r="N14" s="1668"/>
      <c r="O14" s="1668"/>
      <c r="P14" s="1668"/>
      <c r="Q14" s="1668"/>
      <c r="R14" s="1668"/>
      <c r="S14" s="1668"/>
      <c r="T14" s="1668"/>
      <c r="Y14" s="1"/>
      <c r="Z14" s="1"/>
      <c r="AA14" s="1"/>
    </row>
    <row r="15" spans="1:27" ht="45">
      <c r="A15" s="637" t="s">
        <v>497</v>
      </c>
      <c r="B15" s="613" t="s">
        <v>498</v>
      </c>
      <c r="C15" s="572" t="s">
        <v>499</v>
      </c>
      <c r="D15" s="646">
        <v>360</v>
      </c>
      <c r="E15" s="646">
        <v>360</v>
      </c>
      <c r="F15" s="416">
        <v>0</v>
      </c>
      <c r="G15" s="614">
        <f t="shared" ref="G15:G22" si="0">ROUND((D15*$C$10),2)</f>
        <v>86.4</v>
      </c>
      <c r="H15" s="614">
        <f t="shared" ref="H15:H22" si="1">ROUND((E15*$D$10),2)</f>
        <v>52.06</v>
      </c>
      <c r="I15" s="614">
        <v>0</v>
      </c>
      <c r="J15" s="614">
        <f t="shared" ref="J15:J22" si="2">ROUND(((G15+H15+I15)*$F$10),2)</f>
        <v>32.659999999999997</v>
      </c>
      <c r="K15" s="620">
        <f t="shared" ref="K15:K22" si="3">L15+M15</f>
        <v>183.82</v>
      </c>
      <c r="L15" s="615">
        <v>21.65</v>
      </c>
      <c r="M15" s="620">
        <v>162.16999999999999</v>
      </c>
      <c r="N15" s="614">
        <v>211.93</v>
      </c>
      <c r="O15" s="614">
        <f>ROUND(((G15+H15+I15)*$M$10),2)</f>
        <v>39.56</v>
      </c>
      <c r="P15" s="614">
        <f t="shared" ref="P15:P22" si="4">ROUND(((G15+H15+I15)*$N$10),2)</f>
        <v>2.8</v>
      </c>
      <c r="Q15" s="614">
        <f t="shared" ref="Q15:Q22" si="5">ROUND(((G15+H15+I15)*$O$10),2)</f>
        <v>4.46</v>
      </c>
      <c r="R15" s="621">
        <f t="shared" ref="R15:R22" si="6">ROUND((G15+H15+I15+J15+K15+N15+O15+P15+Q15),2)</f>
        <v>613.69000000000005</v>
      </c>
      <c r="S15" s="616">
        <v>0</v>
      </c>
      <c r="T15" s="621">
        <f t="shared" ref="T15:T22" si="7">R15-S15</f>
        <v>613.69000000000005</v>
      </c>
      <c r="Y15" s="1"/>
      <c r="Z15" s="1"/>
      <c r="AA15" s="1"/>
    </row>
    <row r="16" spans="1:27" ht="30">
      <c r="A16" s="637" t="s">
        <v>500</v>
      </c>
      <c r="B16" s="613" t="s">
        <v>498</v>
      </c>
      <c r="C16" s="572" t="s">
        <v>501</v>
      </c>
      <c r="D16" s="646">
        <v>60</v>
      </c>
      <c r="E16" s="646">
        <v>50</v>
      </c>
      <c r="F16" s="416">
        <v>0</v>
      </c>
      <c r="G16" s="614">
        <f t="shared" si="0"/>
        <v>14.4</v>
      </c>
      <c r="H16" s="614">
        <f t="shared" si="1"/>
        <v>7.23</v>
      </c>
      <c r="I16" s="614">
        <v>0</v>
      </c>
      <c r="J16" s="614">
        <f t="shared" si="2"/>
        <v>5.0999999999999996</v>
      </c>
      <c r="K16" s="620">
        <f t="shared" si="3"/>
        <v>8.7899999999999991</v>
      </c>
      <c r="L16" s="615">
        <v>0</v>
      </c>
      <c r="M16" s="620">
        <v>8.7899999999999991</v>
      </c>
      <c r="N16" s="614">
        <v>13.02</v>
      </c>
      <c r="O16" s="614">
        <f>ROUND(((G16+H16+I16)*$M$10),2)</f>
        <v>6.18</v>
      </c>
      <c r="P16" s="614">
        <f t="shared" si="4"/>
        <v>0.44</v>
      </c>
      <c r="Q16" s="614">
        <f t="shared" si="5"/>
        <v>0.7</v>
      </c>
      <c r="R16" s="621">
        <f t="shared" si="6"/>
        <v>55.86</v>
      </c>
      <c r="S16" s="616">
        <v>0</v>
      </c>
      <c r="T16" s="621">
        <f t="shared" si="7"/>
        <v>55.86</v>
      </c>
      <c r="Y16" s="1"/>
      <c r="Z16" s="1"/>
      <c r="AA16" s="1"/>
    </row>
    <row r="17" spans="1:27" ht="51">
      <c r="A17" s="637" t="s">
        <v>497</v>
      </c>
      <c r="B17" s="613" t="s">
        <v>502</v>
      </c>
      <c r="C17" s="573" t="s">
        <v>503</v>
      </c>
      <c r="D17" s="646">
        <v>520</v>
      </c>
      <c r="E17" s="646">
        <v>520</v>
      </c>
      <c r="F17" s="416">
        <v>0</v>
      </c>
      <c r="G17" s="614">
        <f t="shared" si="0"/>
        <v>124.8</v>
      </c>
      <c r="H17" s="805">
        <f t="shared" si="1"/>
        <v>75.19</v>
      </c>
      <c r="I17" s="614">
        <v>0</v>
      </c>
      <c r="J17" s="614">
        <f t="shared" si="2"/>
        <v>47.18</v>
      </c>
      <c r="K17" s="620">
        <f t="shared" si="3"/>
        <v>4202.1000000000004</v>
      </c>
      <c r="L17" s="615">
        <v>108.02</v>
      </c>
      <c r="M17" s="620">
        <v>4094.08</v>
      </c>
      <c r="N17" s="614">
        <v>306.12</v>
      </c>
      <c r="O17" s="614">
        <f>ROUND(((G17+H17+I17)*$M$10),2)</f>
        <v>57.14</v>
      </c>
      <c r="P17" s="614">
        <f t="shared" si="4"/>
        <v>4.04</v>
      </c>
      <c r="Q17" s="614">
        <f t="shared" si="5"/>
        <v>6.44</v>
      </c>
      <c r="R17" s="621">
        <f t="shared" si="6"/>
        <v>4823.01</v>
      </c>
      <c r="S17" s="616">
        <v>4</v>
      </c>
      <c r="T17" s="621">
        <f t="shared" si="7"/>
        <v>4819.01</v>
      </c>
      <c r="Y17" s="1"/>
      <c r="Z17" s="1"/>
      <c r="AA17" s="1"/>
    </row>
    <row r="18" spans="1:27" ht="45">
      <c r="A18" s="637" t="s">
        <v>500</v>
      </c>
      <c r="B18" s="613" t="s">
        <v>502</v>
      </c>
      <c r="C18" s="572" t="s">
        <v>504</v>
      </c>
      <c r="D18" s="416">
        <v>180</v>
      </c>
      <c r="E18" s="416">
        <v>120</v>
      </c>
      <c r="F18" s="416">
        <v>0</v>
      </c>
      <c r="G18" s="614">
        <f t="shared" si="0"/>
        <v>43.2</v>
      </c>
      <c r="H18" s="614">
        <f t="shared" si="1"/>
        <v>17.350000000000001</v>
      </c>
      <c r="I18" s="614">
        <v>0</v>
      </c>
      <c r="J18" s="614">
        <f t="shared" si="2"/>
        <v>14.28</v>
      </c>
      <c r="K18" s="620">
        <f t="shared" si="3"/>
        <v>316.42</v>
      </c>
      <c r="L18" s="615">
        <v>0</v>
      </c>
      <c r="M18" s="620">
        <v>316.42</v>
      </c>
      <c r="N18" s="614">
        <v>3.97</v>
      </c>
      <c r="O18" s="614">
        <f>ROUND(((G18+H18+I18)*$M$10),2)+4</f>
        <v>21.3</v>
      </c>
      <c r="P18" s="614">
        <f t="shared" si="4"/>
        <v>1.22</v>
      </c>
      <c r="Q18" s="614">
        <f t="shared" si="5"/>
        <v>1.95</v>
      </c>
      <c r="R18" s="621">
        <f t="shared" si="6"/>
        <v>419.69</v>
      </c>
      <c r="S18" s="616">
        <v>4</v>
      </c>
      <c r="T18" s="621">
        <f t="shared" si="7"/>
        <v>415.69</v>
      </c>
      <c r="Y18" s="1"/>
      <c r="Z18" s="1"/>
      <c r="AA18" s="1"/>
    </row>
    <row r="19" spans="1:27" ht="45">
      <c r="A19" s="637" t="s">
        <v>497</v>
      </c>
      <c r="B19" s="613" t="s">
        <v>505</v>
      </c>
      <c r="C19" s="572" t="s">
        <v>506</v>
      </c>
      <c r="D19" s="416">
        <v>0</v>
      </c>
      <c r="E19" s="416">
        <v>0</v>
      </c>
      <c r="F19" s="416">
        <v>0</v>
      </c>
      <c r="G19" s="614">
        <f t="shared" si="0"/>
        <v>0</v>
      </c>
      <c r="H19" s="614">
        <f t="shared" si="1"/>
        <v>0</v>
      </c>
      <c r="I19" s="614">
        <v>0</v>
      </c>
      <c r="J19" s="614">
        <f t="shared" si="2"/>
        <v>0</v>
      </c>
      <c r="K19" s="620">
        <f t="shared" si="3"/>
        <v>2339.9</v>
      </c>
      <c r="L19" s="615">
        <v>0</v>
      </c>
      <c r="M19" s="620">
        <v>2339.9</v>
      </c>
      <c r="N19" s="614">
        <v>0</v>
      </c>
      <c r="O19" s="614">
        <f>ROUND(((G19+H19+I19)*$M$10),2)</f>
        <v>0</v>
      </c>
      <c r="P19" s="614">
        <f t="shared" si="4"/>
        <v>0</v>
      </c>
      <c r="Q19" s="614">
        <f t="shared" si="5"/>
        <v>0</v>
      </c>
      <c r="R19" s="621">
        <f t="shared" si="6"/>
        <v>2339.9</v>
      </c>
      <c r="S19" s="616">
        <v>0</v>
      </c>
      <c r="T19" s="621">
        <f t="shared" si="7"/>
        <v>2339.9</v>
      </c>
      <c r="Y19" s="1"/>
      <c r="Z19" s="1"/>
      <c r="AA19" s="1"/>
    </row>
    <row r="20" spans="1:27" ht="45">
      <c r="A20" s="637" t="s">
        <v>500</v>
      </c>
      <c r="B20" s="613" t="s">
        <v>505</v>
      </c>
      <c r="C20" s="572" t="s">
        <v>507</v>
      </c>
      <c r="D20" s="416">
        <v>0</v>
      </c>
      <c r="E20" s="416">
        <v>0</v>
      </c>
      <c r="F20" s="416">
        <v>0</v>
      </c>
      <c r="G20" s="614">
        <f t="shared" si="0"/>
        <v>0</v>
      </c>
      <c r="H20" s="614">
        <f t="shared" si="1"/>
        <v>0</v>
      </c>
      <c r="I20" s="614">
        <v>0</v>
      </c>
      <c r="J20" s="614">
        <f t="shared" si="2"/>
        <v>0</v>
      </c>
      <c r="K20" s="620">
        <f t="shared" si="3"/>
        <v>684.75</v>
      </c>
      <c r="L20" s="615">
        <v>0</v>
      </c>
      <c r="M20" s="620">
        <v>684.75</v>
      </c>
      <c r="N20" s="614">
        <v>42.69</v>
      </c>
      <c r="O20" s="614">
        <f>ROUND(((G20+H20+I20)*$M$10),2)</f>
        <v>0</v>
      </c>
      <c r="P20" s="614">
        <f t="shared" si="4"/>
        <v>0</v>
      </c>
      <c r="Q20" s="614">
        <f t="shared" si="5"/>
        <v>0</v>
      </c>
      <c r="R20" s="621">
        <f t="shared" si="6"/>
        <v>727.44</v>
      </c>
      <c r="S20" s="616">
        <v>0</v>
      </c>
      <c r="T20" s="621">
        <f t="shared" si="7"/>
        <v>727.44</v>
      </c>
      <c r="Y20" s="1"/>
      <c r="Z20" s="1"/>
      <c r="AA20" s="1"/>
    </row>
    <row r="21" spans="1:27" ht="72.75" customHeight="1">
      <c r="A21" s="637" t="s">
        <v>497</v>
      </c>
      <c r="B21" s="613" t="s">
        <v>508</v>
      </c>
      <c r="C21" s="645" t="s">
        <v>509</v>
      </c>
      <c r="D21" s="416">
        <v>0</v>
      </c>
      <c r="E21" s="416">
        <v>0</v>
      </c>
      <c r="F21" s="416">
        <v>0</v>
      </c>
      <c r="G21" s="614">
        <f t="shared" si="0"/>
        <v>0</v>
      </c>
      <c r="H21" s="614">
        <f t="shared" si="1"/>
        <v>0</v>
      </c>
      <c r="I21" s="614">
        <v>0</v>
      </c>
      <c r="J21" s="614">
        <f t="shared" si="2"/>
        <v>0</v>
      </c>
      <c r="K21" s="620">
        <f t="shared" si="3"/>
        <v>1176.1199999999999</v>
      </c>
      <c r="L21" s="615">
        <v>0</v>
      </c>
      <c r="M21" s="620">
        <v>1176.1199999999999</v>
      </c>
      <c r="N21" s="614">
        <v>0</v>
      </c>
      <c r="O21" s="614">
        <f>ROUND(((G21+H21+I21)*$M$10),2)</f>
        <v>0</v>
      </c>
      <c r="P21" s="614">
        <f t="shared" si="4"/>
        <v>0</v>
      </c>
      <c r="Q21" s="614">
        <f t="shared" si="5"/>
        <v>0</v>
      </c>
      <c r="R21" s="621">
        <f t="shared" si="6"/>
        <v>1176.1199999999999</v>
      </c>
      <c r="S21" s="616">
        <v>0</v>
      </c>
      <c r="T21" s="621">
        <f t="shared" si="7"/>
        <v>1176.1199999999999</v>
      </c>
      <c r="Y21" s="1"/>
    </row>
    <row r="22" spans="1:27" ht="45">
      <c r="A22" s="637" t="s">
        <v>500</v>
      </c>
      <c r="B22" s="613" t="s">
        <v>508</v>
      </c>
      <c r="C22" s="572" t="s">
        <v>510</v>
      </c>
      <c r="D22" s="416">
        <v>0</v>
      </c>
      <c r="E22" s="416">
        <v>0</v>
      </c>
      <c r="F22" s="416">
        <v>0</v>
      </c>
      <c r="G22" s="614">
        <f t="shared" si="0"/>
        <v>0</v>
      </c>
      <c r="H22" s="614">
        <f t="shared" si="1"/>
        <v>0</v>
      </c>
      <c r="I22" s="614">
        <v>0</v>
      </c>
      <c r="J22" s="614">
        <f t="shared" si="2"/>
        <v>0</v>
      </c>
      <c r="K22" s="620">
        <f t="shared" si="3"/>
        <v>131.66</v>
      </c>
      <c r="L22" s="615">
        <v>0</v>
      </c>
      <c r="M22" s="620">
        <v>131.66</v>
      </c>
      <c r="N22" s="614">
        <v>42.69</v>
      </c>
      <c r="O22" s="614">
        <f>ROUND(((G22+H22+I22)*$M$10),2)</f>
        <v>0</v>
      </c>
      <c r="P22" s="614">
        <f t="shared" si="4"/>
        <v>0</v>
      </c>
      <c r="Q22" s="614">
        <f t="shared" si="5"/>
        <v>0</v>
      </c>
      <c r="R22" s="621">
        <f t="shared" si="6"/>
        <v>174.35</v>
      </c>
      <c r="S22" s="616">
        <v>0</v>
      </c>
      <c r="T22" s="621">
        <f t="shared" si="7"/>
        <v>174.35</v>
      </c>
      <c r="Y22" s="1"/>
      <c r="Z22" s="1"/>
      <c r="AA22" s="1"/>
    </row>
    <row r="23" spans="1:27">
      <c r="A23" s="1"/>
      <c r="B23" s="612"/>
      <c r="C23" s="328"/>
      <c r="D23" s="328"/>
      <c r="E23" s="608"/>
      <c r="F23" s="608"/>
      <c r="G23" s="608"/>
      <c r="H23" s="609"/>
      <c r="I23" s="609"/>
      <c r="J23" s="609"/>
      <c r="K23" s="609"/>
      <c r="L23" s="609"/>
      <c r="M23" s="609"/>
      <c r="N23" s="610"/>
      <c r="O23" s="610"/>
      <c r="P23" s="610"/>
      <c r="Q23" s="609"/>
      <c r="R23" s="609"/>
      <c r="S23" s="609"/>
      <c r="T23" s="609"/>
      <c r="U23" s="611"/>
      <c r="V23" s="611"/>
      <c r="W23" s="611"/>
      <c r="Y23" s="1"/>
      <c r="Z23" s="1"/>
      <c r="AA23" s="1"/>
    </row>
    <row r="24" spans="1:27" ht="45">
      <c r="A24" s="2"/>
      <c r="B24" s="2"/>
      <c r="C24" s="2"/>
      <c r="D24" s="2"/>
      <c r="E24" s="2"/>
      <c r="F24" s="2"/>
      <c r="G24" s="2"/>
      <c r="H24" s="2"/>
      <c r="I24" s="2"/>
      <c r="J24" s="2"/>
      <c r="K24" s="2"/>
      <c r="L24" s="121" t="s">
        <v>511</v>
      </c>
      <c r="M24" s="833" t="s">
        <v>512</v>
      </c>
      <c r="N24" s="804"/>
      <c r="O24" s="804"/>
      <c r="P24" s="867"/>
      <c r="Q24" s="867"/>
      <c r="R24" s="867"/>
      <c r="S24" s="867"/>
      <c r="T24" s="867"/>
      <c r="U24" s="867"/>
      <c r="V24" s="868"/>
      <c r="W24" s="867"/>
      <c r="X24" s="867"/>
      <c r="Y24" s="3"/>
      <c r="Z24" s="3"/>
    </row>
    <row r="25" spans="1:27" ht="27.75" customHeight="1">
      <c r="A25" s="1"/>
      <c r="B25" s="1555" t="s">
        <v>183</v>
      </c>
      <c r="C25" s="1555" t="s">
        <v>182</v>
      </c>
      <c r="D25" s="18"/>
      <c r="E25" s="1555" t="s">
        <v>349</v>
      </c>
      <c r="F25" s="1555" t="s">
        <v>350</v>
      </c>
      <c r="G25" s="1555" t="s">
        <v>196</v>
      </c>
      <c r="H25" s="1555" t="s">
        <v>197</v>
      </c>
      <c r="I25" s="1663" t="s">
        <v>513</v>
      </c>
      <c r="J25" s="1669" t="s">
        <v>514</v>
      </c>
      <c r="K25" s="1670"/>
      <c r="L25" s="1670"/>
      <c r="M25" s="1670"/>
      <c r="N25" s="1670"/>
      <c r="O25" s="1671"/>
      <c r="P25" s="1672" t="s">
        <v>1054</v>
      </c>
      <c r="Q25" s="1672" t="s">
        <v>1055</v>
      </c>
      <c r="R25" s="1555" t="s">
        <v>1056</v>
      </c>
      <c r="S25" s="1555" t="s">
        <v>1057</v>
      </c>
      <c r="T25" s="1555" t="s">
        <v>1058</v>
      </c>
      <c r="U25" s="1555" t="s">
        <v>1059</v>
      </c>
      <c r="V25"/>
    </row>
    <row r="26" spans="1:27" ht="65.25" customHeight="1">
      <c r="A26" s="1"/>
      <c r="B26" s="1662"/>
      <c r="C26" s="1662"/>
      <c r="D26" s="467" t="s">
        <v>515</v>
      </c>
      <c r="E26" s="1557"/>
      <c r="F26" s="1662"/>
      <c r="G26" s="1662"/>
      <c r="H26" s="1556"/>
      <c r="I26" s="1664"/>
      <c r="J26" s="19" t="s">
        <v>516</v>
      </c>
      <c r="K26" s="19" t="s">
        <v>517</v>
      </c>
      <c r="L26" s="19" t="s">
        <v>518</v>
      </c>
      <c r="M26" s="19" t="s">
        <v>922</v>
      </c>
      <c r="N26" s="19" t="s">
        <v>923</v>
      </c>
      <c r="O26" s="19" t="s">
        <v>924</v>
      </c>
      <c r="P26" s="1673"/>
      <c r="Q26" s="1673"/>
      <c r="R26" s="1556"/>
      <c r="S26" s="1556"/>
      <c r="T26" s="1556"/>
      <c r="U26" s="1662"/>
      <c r="V26"/>
    </row>
    <row r="27" spans="1:27" ht="45">
      <c r="A27" s="1"/>
      <c r="B27" s="190" t="s">
        <v>498</v>
      </c>
      <c r="C27" s="191" t="s">
        <v>501</v>
      </c>
      <c r="D27" s="191" t="s">
        <v>499</v>
      </c>
      <c r="E27" s="192">
        <v>55.86</v>
      </c>
      <c r="F27" s="193">
        <f>R15</f>
        <v>613.69000000000005</v>
      </c>
      <c r="G27" s="194">
        <v>0</v>
      </c>
      <c r="H27" s="288">
        <v>1</v>
      </c>
      <c r="I27" s="863" t="s">
        <v>519</v>
      </c>
      <c r="J27" s="317">
        <v>1127</v>
      </c>
      <c r="K27" s="195">
        <f>J27*0.2</f>
        <v>225.4</v>
      </c>
      <c r="L27" s="195">
        <f>J27-K27</f>
        <v>901.6</v>
      </c>
      <c r="M27" s="604">
        <v>1300</v>
      </c>
      <c r="N27" s="604">
        <f>M27*0.2</f>
        <v>260</v>
      </c>
      <c r="O27" s="604">
        <f>M27-N27</f>
        <v>1040</v>
      </c>
      <c r="P27" s="597">
        <f>F27*K27</f>
        <v>138325.72600000002</v>
      </c>
      <c r="Q27" s="597">
        <f>(F27-E27)*L27</f>
        <v>502939.52800000005</v>
      </c>
      <c r="R27" s="597">
        <f>P27+Q27</f>
        <v>641265.25400000007</v>
      </c>
      <c r="S27" s="597">
        <f>F27*N27</f>
        <v>159559.40000000002</v>
      </c>
      <c r="T27" s="598">
        <f>(F27-E27)*O27</f>
        <v>580143.20000000007</v>
      </c>
      <c r="U27" s="599">
        <f>S27+T27</f>
        <v>739702.60000000009</v>
      </c>
      <c r="V27"/>
    </row>
    <row r="28" spans="1:27" ht="64.5">
      <c r="A28" s="1"/>
      <c r="B28" s="190" t="s">
        <v>502</v>
      </c>
      <c r="C28" s="191" t="s">
        <v>504</v>
      </c>
      <c r="D28" s="794" t="s">
        <v>503</v>
      </c>
      <c r="E28" s="192">
        <v>415.69</v>
      </c>
      <c r="F28" s="193">
        <f>R17</f>
        <v>4823.01</v>
      </c>
      <c r="G28" s="194">
        <v>4</v>
      </c>
      <c r="H28" s="288">
        <v>1</v>
      </c>
      <c r="I28" s="864">
        <v>610</v>
      </c>
      <c r="J28" s="317">
        <v>621</v>
      </c>
      <c r="K28" s="195">
        <f t="shared" ref="K28:K41" si="8">J28*0.2</f>
        <v>124.2</v>
      </c>
      <c r="L28" s="195">
        <f>J28-K28</f>
        <v>496.8</v>
      </c>
      <c r="M28" s="604">
        <v>800</v>
      </c>
      <c r="N28" s="604">
        <f t="shared" ref="N28:N41" si="9">M28*0.2</f>
        <v>160</v>
      </c>
      <c r="O28" s="604">
        <f t="shared" ref="O28:O41" si="10">M28-N28</f>
        <v>640</v>
      </c>
      <c r="P28" s="597">
        <f>F28*K28</f>
        <v>599017.84200000006</v>
      </c>
      <c r="Q28" s="597">
        <f>(F28-E28)*L28</f>
        <v>2189556.5760000004</v>
      </c>
      <c r="R28" s="597">
        <f t="shared" ref="R28:R43" si="11">P28+Q28</f>
        <v>2788574.4180000005</v>
      </c>
      <c r="S28" s="597">
        <f t="shared" ref="S28:S30" si="12">F28*N28</f>
        <v>771681.60000000009</v>
      </c>
      <c r="T28" s="598">
        <f>(F28-E28)*O28</f>
        <v>2820684.8000000003</v>
      </c>
      <c r="U28" s="599">
        <f t="shared" ref="U28:U43" si="13">S28+T28</f>
        <v>3592366.4000000004</v>
      </c>
      <c r="V28"/>
      <c r="W28" s="264">
        <f>F27+F29+F30</f>
        <v>4129.71</v>
      </c>
    </row>
    <row r="29" spans="1:27" ht="45">
      <c r="A29" s="1"/>
      <c r="B29" s="190" t="s">
        <v>505</v>
      </c>
      <c r="C29" s="191" t="s">
        <v>507</v>
      </c>
      <c r="D29" s="191" t="s">
        <v>506</v>
      </c>
      <c r="E29" s="192">
        <v>727.44</v>
      </c>
      <c r="F29" s="193">
        <f>R19</f>
        <v>2339.9</v>
      </c>
      <c r="G29" s="194">
        <v>0</v>
      </c>
      <c r="H29" s="288">
        <v>1</v>
      </c>
      <c r="I29" s="864" t="s">
        <v>520</v>
      </c>
      <c r="J29" s="317">
        <v>1122</v>
      </c>
      <c r="K29" s="195">
        <f t="shared" si="8"/>
        <v>224.4</v>
      </c>
      <c r="L29" s="195">
        <f>J29-K29</f>
        <v>897.6</v>
      </c>
      <c r="M29" s="604">
        <v>1200</v>
      </c>
      <c r="N29" s="604">
        <f t="shared" si="9"/>
        <v>240</v>
      </c>
      <c r="O29" s="604">
        <f t="shared" si="10"/>
        <v>960</v>
      </c>
      <c r="P29" s="597">
        <f t="shared" ref="P29:P30" si="14">F29*K29</f>
        <v>525073.56000000006</v>
      </c>
      <c r="Q29" s="597">
        <f>(F29-E29)*L29</f>
        <v>1447344.0960000001</v>
      </c>
      <c r="R29" s="597">
        <f t="shared" si="11"/>
        <v>1972417.6560000002</v>
      </c>
      <c r="S29" s="597">
        <f t="shared" si="12"/>
        <v>561576</v>
      </c>
      <c r="T29" s="598">
        <f>(F29-E29)*O29</f>
        <v>1547961.6</v>
      </c>
      <c r="U29" s="599">
        <f t="shared" si="13"/>
        <v>2109537.6</v>
      </c>
      <c r="V29"/>
      <c r="W29" s="264">
        <f>F28+F29</f>
        <v>7162.91</v>
      </c>
    </row>
    <row r="30" spans="1:27" ht="86.25" customHeight="1">
      <c r="A30" s="1"/>
      <c r="B30" s="196" t="s">
        <v>508</v>
      </c>
      <c r="C30" s="197" t="s">
        <v>510</v>
      </c>
      <c r="D30" s="447" t="s">
        <v>509</v>
      </c>
      <c r="E30" s="198">
        <v>174.35</v>
      </c>
      <c r="F30" s="199">
        <f>R21</f>
        <v>1176.1199999999999</v>
      </c>
      <c r="G30" s="194">
        <v>0</v>
      </c>
      <c r="H30" s="288">
        <v>1</v>
      </c>
      <c r="I30" s="864" t="s">
        <v>521</v>
      </c>
      <c r="J30" s="317">
        <v>1129</v>
      </c>
      <c r="K30" s="279">
        <f t="shared" si="8"/>
        <v>225.8</v>
      </c>
      <c r="L30" s="279">
        <f t="shared" ref="L30:L41" si="15">J30-K30</f>
        <v>903.2</v>
      </c>
      <c r="M30" s="604">
        <v>1200</v>
      </c>
      <c r="N30" s="604">
        <f t="shared" si="9"/>
        <v>240</v>
      </c>
      <c r="O30" s="604">
        <f t="shared" si="10"/>
        <v>960</v>
      </c>
      <c r="P30" s="597">
        <f t="shared" si="14"/>
        <v>265567.89600000001</v>
      </c>
      <c r="Q30" s="600">
        <f>(F30-E30)*L30</f>
        <v>904798.66399999987</v>
      </c>
      <c r="R30" s="600">
        <f t="shared" si="11"/>
        <v>1170366.5599999998</v>
      </c>
      <c r="S30" s="597">
        <f t="shared" si="12"/>
        <v>282268.79999999999</v>
      </c>
      <c r="T30" s="601">
        <f>(F30-E30)*O30</f>
        <v>961699.19999999984</v>
      </c>
      <c r="U30" s="602">
        <f t="shared" si="13"/>
        <v>1243967.9999999998</v>
      </c>
      <c r="V30"/>
    </row>
    <row r="31" spans="1:27" ht="30">
      <c r="A31" s="1"/>
      <c r="B31" s="200" t="s">
        <v>387</v>
      </c>
      <c r="C31" s="201" t="s">
        <v>522</v>
      </c>
      <c r="D31" s="201" t="s">
        <v>362</v>
      </c>
      <c r="E31" s="202">
        <v>27.03</v>
      </c>
      <c r="F31" s="203"/>
      <c r="G31" s="992">
        <v>0</v>
      </c>
      <c r="H31" s="993">
        <v>1</v>
      </c>
      <c r="I31" s="994" t="s">
        <v>523</v>
      </c>
      <c r="J31" s="995">
        <v>1016</v>
      </c>
      <c r="K31" s="996">
        <v>800</v>
      </c>
      <c r="L31" s="996">
        <f t="shared" si="15"/>
        <v>216</v>
      </c>
      <c r="M31" s="996">
        <v>900</v>
      </c>
      <c r="N31" s="997">
        <v>900</v>
      </c>
      <c r="O31" s="998">
        <f t="shared" si="10"/>
        <v>0</v>
      </c>
      <c r="P31" s="998">
        <f>E31*K31</f>
        <v>21624</v>
      </c>
      <c r="Q31" s="998">
        <f t="shared" ref="Q31:Q43" si="16">E31*L31</f>
        <v>5838.4800000000005</v>
      </c>
      <c r="R31" s="998">
        <f t="shared" si="11"/>
        <v>27462.48</v>
      </c>
      <c r="S31" s="998">
        <f>E31*N31</f>
        <v>24327</v>
      </c>
      <c r="T31" s="999">
        <f t="shared" ref="T31:T43" si="17">E31*O31</f>
        <v>0</v>
      </c>
      <c r="U31" s="1000">
        <f t="shared" si="13"/>
        <v>24327</v>
      </c>
      <c r="V31" s="280" t="s">
        <v>524</v>
      </c>
    </row>
    <row r="32" spans="1:27" ht="30">
      <c r="A32" s="1"/>
      <c r="B32" s="267" t="s">
        <v>525</v>
      </c>
      <c r="C32" s="268" t="s">
        <v>526</v>
      </c>
      <c r="D32" s="268" t="s">
        <v>362</v>
      </c>
      <c r="E32" s="269">
        <v>30.67</v>
      </c>
      <c r="F32" s="270"/>
      <c r="G32" s="271">
        <v>4</v>
      </c>
      <c r="H32" s="289">
        <v>1</v>
      </c>
      <c r="I32" s="864">
        <v>52</v>
      </c>
      <c r="J32" s="989">
        <v>60</v>
      </c>
      <c r="K32" s="990">
        <f t="shared" si="8"/>
        <v>12</v>
      </c>
      <c r="L32" s="990">
        <f t="shared" si="15"/>
        <v>48</v>
      </c>
      <c r="M32" s="990">
        <v>70</v>
      </c>
      <c r="N32" s="990">
        <f t="shared" si="9"/>
        <v>14</v>
      </c>
      <c r="O32" s="644">
        <f t="shared" si="10"/>
        <v>56</v>
      </c>
      <c r="P32" s="991">
        <f t="shared" ref="P32:P43" si="18">E32*K32</f>
        <v>368.04</v>
      </c>
      <c r="Q32" s="640">
        <f t="shared" si="16"/>
        <v>1472.16</v>
      </c>
      <c r="R32" s="640">
        <f t="shared" si="11"/>
        <v>1840.2</v>
      </c>
      <c r="S32" s="991">
        <f>E32*N32</f>
        <v>429.38</v>
      </c>
      <c r="T32" s="640">
        <f t="shared" si="17"/>
        <v>1717.52</v>
      </c>
      <c r="U32" s="640">
        <f t="shared" si="13"/>
        <v>2146.9</v>
      </c>
      <c r="V32" s="280"/>
    </row>
    <row r="33" spans="1:26" ht="45">
      <c r="A33" s="1"/>
      <c r="B33" s="200" t="s">
        <v>527</v>
      </c>
      <c r="C33" s="201" t="s">
        <v>528</v>
      </c>
      <c r="D33" s="201" t="s">
        <v>362</v>
      </c>
      <c r="E33" s="202">
        <v>32.06</v>
      </c>
      <c r="F33" s="203"/>
      <c r="G33" s="204">
        <v>0</v>
      </c>
      <c r="H33" s="288">
        <v>1</v>
      </c>
      <c r="I33" s="864">
        <v>2</v>
      </c>
      <c r="J33" s="869">
        <v>20</v>
      </c>
      <c r="K33" s="604">
        <f t="shared" si="8"/>
        <v>4</v>
      </c>
      <c r="L33" s="604">
        <f t="shared" si="15"/>
        <v>16</v>
      </c>
      <c r="M33" s="604">
        <v>30</v>
      </c>
      <c r="N33" s="604">
        <f t="shared" si="9"/>
        <v>6</v>
      </c>
      <c r="O33" s="643">
        <f t="shared" si="10"/>
        <v>24</v>
      </c>
      <c r="P33" s="597">
        <f t="shared" si="18"/>
        <v>128.24</v>
      </c>
      <c r="Q33" s="603">
        <f t="shared" si="16"/>
        <v>512.96</v>
      </c>
      <c r="R33" s="603">
        <f t="shared" si="11"/>
        <v>641.20000000000005</v>
      </c>
      <c r="S33" s="597">
        <f t="shared" ref="S33:S41" si="19">E33*N33</f>
        <v>192.36</v>
      </c>
      <c r="T33" s="603">
        <f t="shared" si="17"/>
        <v>769.44</v>
      </c>
      <c r="U33" s="603">
        <f t="shared" si="13"/>
        <v>961.80000000000007</v>
      </c>
      <c r="V33" s="280"/>
    </row>
    <row r="34" spans="1:26" ht="30">
      <c r="A34" s="1"/>
      <c r="B34" s="200" t="s">
        <v>388</v>
      </c>
      <c r="C34" s="201" t="s">
        <v>529</v>
      </c>
      <c r="D34" s="201" t="s">
        <v>362</v>
      </c>
      <c r="E34" s="202">
        <v>31.37</v>
      </c>
      <c r="F34" s="203"/>
      <c r="G34" s="204">
        <v>0</v>
      </c>
      <c r="H34" s="288">
        <v>1</v>
      </c>
      <c r="I34" s="864">
        <v>677</v>
      </c>
      <c r="J34" s="604">
        <v>580</v>
      </c>
      <c r="K34" s="604">
        <f t="shared" si="8"/>
        <v>116</v>
      </c>
      <c r="L34" s="604">
        <f t="shared" si="15"/>
        <v>464</v>
      </c>
      <c r="M34" s="604">
        <v>570</v>
      </c>
      <c r="N34" s="604">
        <f t="shared" si="9"/>
        <v>114</v>
      </c>
      <c r="O34" s="643">
        <f t="shared" si="10"/>
        <v>456</v>
      </c>
      <c r="P34" s="597">
        <f t="shared" si="18"/>
        <v>3638.92</v>
      </c>
      <c r="Q34" s="603">
        <f t="shared" si="16"/>
        <v>14555.68</v>
      </c>
      <c r="R34" s="603">
        <f t="shared" si="11"/>
        <v>18194.599999999999</v>
      </c>
      <c r="S34" s="597">
        <f t="shared" si="19"/>
        <v>3576.1800000000003</v>
      </c>
      <c r="T34" s="603">
        <f t="shared" si="17"/>
        <v>14304.720000000001</v>
      </c>
      <c r="U34" s="603">
        <f t="shared" si="13"/>
        <v>17880.900000000001</v>
      </c>
      <c r="V34" s="280" t="s">
        <v>530</v>
      </c>
    </row>
    <row r="35" spans="1:26" ht="30">
      <c r="A35" s="1"/>
      <c r="B35" s="200" t="s">
        <v>389</v>
      </c>
      <c r="C35" s="201" t="s">
        <v>531</v>
      </c>
      <c r="D35" s="201" t="s">
        <v>362</v>
      </c>
      <c r="E35" s="202">
        <v>46.72</v>
      </c>
      <c r="F35" s="203"/>
      <c r="G35" s="204">
        <v>0</v>
      </c>
      <c r="H35" s="288">
        <v>1</v>
      </c>
      <c r="I35" s="864" t="s">
        <v>532</v>
      </c>
      <c r="J35" s="604">
        <v>1901</v>
      </c>
      <c r="K35" s="604">
        <f t="shared" si="8"/>
        <v>380.20000000000005</v>
      </c>
      <c r="L35" s="604">
        <f t="shared" si="15"/>
        <v>1520.8</v>
      </c>
      <c r="M35" s="604">
        <v>1850</v>
      </c>
      <c r="N35" s="604">
        <f t="shared" si="9"/>
        <v>370</v>
      </c>
      <c r="O35" s="643">
        <f t="shared" si="10"/>
        <v>1480</v>
      </c>
      <c r="P35" s="597">
        <f t="shared" si="18"/>
        <v>17762.944000000003</v>
      </c>
      <c r="Q35" s="603">
        <f t="shared" si="16"/>
        <v>71051.775999999998</v>
      </c>
      <c r="R35" s="603">
        <f t="shared" si="11"/>
        <v>88814.720000000001</v>
      </c>
      <c r="S35" s="597">
        <f t="shared" si="19"/>
        <v>17286.399999999998</v>
      </c>
      <c r="T35" s="603">
        <f t="shared" si="17"/>
        <v>69145.599999999991</v>
      </c>
      <c r="U35" s="603">
        <f t="shared" si="13"/>
        <v>86431.999999999985</v>
      </c>
      <c r="V35" s="280" t="s">
        <v>533</v>
      </c>
    </row>
    <row r="36" spans="1:26" ht="30">
      <c r="A36" s="1"/>
      <c r="B36" s="200" t="s">
        <v>390</v>
      </c>
      <c r="C36" s="201" t="s">
        <v>534</v>
      </c>
      <c r="D36" s="201" t="s">
        <v>362</v>
      </c>
      <c r="E36" s="202">
        <v>46.72</v>
      </c>
      <c r="F36" s="203"/>
      <c r="G36" s="204">
        <v>0</v>
      </c>
      <c r="H36" s="288">
        <v>1</v>
      </c>
      <c r="I36" s="864">
        <v>38</v>
      </c>
      <c r="J36" s="604">
        <v>37</v>
      </c>
      <c r="K36" s="604">
        <f t="shared" si="8"/>
        <v>7.4</v>
      </c>
      <c r="L36" s="604">
        <f t="shared" si="15"/>
        <v>29.6</v>
      </c>
      <c r="M36" s="604">
        <v>45</v>
      </c>
      <c r="N36" s="604">
        <f t="shared" si="9"/>
        <v>9</v>
      </c>
      <c r="O36" s="643">
        <f t="shared" si="10"/>
        <v>36</v>
      </c>
      <c r="P36" s="597">
        <f t="shared" si="18"/>
        <v>345.72800000000001</v>
      </c>
      <c r="Q36" s="603">
        <f t="shared" si="16"/>
        <v>1382.912</v>
      </c>
      <c r="R36" s="603">
        <f t="shared" si="11"/>
        <v>1728.64</v>
      </c>
      <c r="S36" s="597">
        <f t="shared" si="19"/>
        <v>420.48</v>
      </c>
      <c r="T36" s="603">
        <f t="shared" si="17"/>
        <v>1681.92</v>
      </c>
      <c r="U36" s="603">
        <f t="shared" si="13"/>
        <v>2102.4</v>
      </c>
      <c r="V36" s="280" t="s">
        <v>535</v>
      </c>
    </row>
    <row r="37" spans="1:26" ht="30">
      <c r="A37" s="1"/>
      <c r="B37" s="200" t="s">
        <v>391</v>
      </c>
      <c r="C37" s="201" t="s">
        <v>536</v>
      </c>
      <c r="D37" s="201" t="s">
        <v>362</v>
      </c>
      <c r="E37" s="202">
        <v>58.17</v>
      </c>
      <c r="F37" s="203"/>
      <c r="G37" s="204">
        <v>0</v>
      </c>
      <c r="H37" s="288">
        <v>1</v>
      </c>
      <c r="I37" s="864">
        <v>484</v>
      </c>
      <c r="J37" s="604">
        <v>465</v>
      </c>
      <c r="K37" s="604">
        <f t="shared" si="8"/>
        <v>93</v>
      </c>
      <c r="L37" s="604">
        <f t="shared" si="15"/>
        <v>372</v>
      </c>
      <c r="M37" s="604">
        <v>500</v>
      </c>
      <c r="N37" s="604">
        <f t="shared" si="9"/>
        <v>100</v>
      </c>
      <c r="O37" s="643">
        <f t="shared" si="10"/>
        <v>400</v>
      </c>
      <c r="P37" s="597">
        <f t="shared" si="18"/>
        <v>5409.81</v>
      </c>
      <c r="Q37" s="603">
        <f t="shared" si="16"/>
        <v>21639.24</v>
      </c>
      <c r="R37" s="603">
        <f t="shared" si="11"/>
        <v>27049.050000000003</v>
      </c>
      <c r="S37" s="597">
        <f t="shared" si="19"/>
        <v>5817</v>
      </c>
      <c r="T37" s="603">
        <f t="shared" si="17"/>
        <v>23268</v>
      </c>
      <c r="U37" s="603">
        <f t="shared" si="13"/>
        <v>29085</v>
      </c>
      <c r="V37" s="280" t="s">
        <v>537</v>
      </c>
    </row>
    <row r="38" spans="1:26" ht="20.25" customHeight="1">
      <c r="A38" s="1"/>
      <c r="B38" s="200" t="s">
        <v>538</v>
      </c>
      <c r="C38" s="201" t="s">
        <v>539</v>
      </c>
      <c r="D38" s="201" t="s">
        <v>362</v>
      </c>
      <c r="E38" s="202">
        <v>352.05</v>
      </c>
      <c r="F38" s="203"/>
      <c r="G38" s="204">
        <v>0</v>
      </c>
      <c r="H38" s="288">
        <v>1</v>
      </c>
      <c r="I38" s="864">
        <v>0</v>
      </c>
      <c r="J38" s="604">
        <v>5</v>
      </c>
      <c r="K38" s="604">
        <f t="shared" si="8"/>
        <v>1</v>
      </c>
      <c r="L38" s="604">
        <f t="shared" si="15"/>
        <v>4</v>
      </c>
      <c r="M38" s="604">
        <v>8</v>
      </c>
      <c r="N38" s="604">
        <f t="shared" si="9"/>
        <v>1.6</v>
      </c>
      <c r="O38" s="643">
        <f t="shared" si="10"/>
        <v>6.4</v>
      </c>
      <c r="P38" s="597">
        <f t="shared" si="18"/>
        <v>352.05</v>
      </c>
      <c r="Q38" s="603">
        <f t="shared" si="16"/>
        <v>1408.2</v>
      </c>
      <c r="R38" s="603">
        <f t="shared" si="11"/>
        <v>1760.25</v>
      </c>
      <c r="S38" s="597">
        <f t="shared" si="19"/>
        <v>563.28000000000009</v>
      </c>
      <c r="T38" s="603">
        <f t="shared" si="17"/>
        <v>2253.1200000000003</v>
      </c>
      <c r="U38" s="603">
        <f t="shared" si="13"/>
        <v>2816.4000000000005</v>
      </c>
      <c r="V38"/>
    </row>
    <row r="39" spans="1:26">
      <c r="A39" s="1"/>
      <c r="B39" s="200" t="s">
        <v>540</v>
      </c>
      <c r="C39" s="201" t="s">
        <v>541</v>
      </c>
      <c r="D39" s="201" t="s">
        <v>362</v>
      </c>
      <c r="E39" s="202">
        <v>352.05</v>
      </c>
      <c r="F39" s="203"/>
      <c r="G39" s="204">
        <v>0</v>
      </c>
      <c r="H39" s="288">
        <v>1</v>
      </c>
      <c r="I39" s="864">
        <v>13</v>
      </c>
      <c r="J39" s="604">
        <v>13</v>
      </c>
      <c r="K39" s="604">
        <f t="shared" si="8"/>
        <v>2.6</v>
      </c>
      <c r="L39" s="604">
        <f t="shared" si="15"/>
        <v>10.4</v>
      </c>
      <c r="M39" s="604">
        <v>14</v>
      </c>
      <c r="N39" s="604">
        <f t="shared" si="9"/>
        <v>2.8000000000000003</v>
      </c>
      <c r="O39" s="643">
        <f t="shared" si="10"/>
        <v>11.2</v>
      </c>
      <c r="P39" s="597">
        <f t="shared" si="18"/>
        <v>915.33</v>
      </c>
      <c r="Q39" s="603">
        <f t="shared" si="16"/>
        <v>3661.32</v>
      </c>
      <c r="R39" s="603">
        <f t="shared" si="11"/>
        <v>4576.6500000000005</v>
      </c>
      <c r="S39" s="597">
        <f t="shared" si="19"/>
        <v>985.74000000000012</v>
      </c>
      <c r="T39" s="603">
        <f t="shared" si="17"/>
        <v>3942.96</v>
      </c>
      <c r="U39" s="603">
        <f t="shared" si="13"/>
        <v>4928.7</v>
      </c>
      <c r="V39"/>
    </row>
    <row r="40" spans="1:26" ht="30.75" customHeight="1">
      <c r="A40" s="1"/>
      <c r="B40" s="200" t="s">
        <v>542</v>
      </c>
      <c r="C40" s="201" t="s">
        <v>543</v>
      </c>
      <c r="D40" s="201" t="s">
        <v>362</v>
      </c>
      <c r="E40" s="202">
        <v>352.05</v>
      </c>
      <c r="F40" s="203"/>
      <c r="G40" s="204">
        <v>0</v>
      </c>
      <c r="H40" s="288">
        <v>1</v>
      </c>
      <c r="I40" s="864">
        <v>34</v>
      </c>
      <c r="J40" s="604">
        <v>12</v>
      </c>
      <c r="K40" s="604">
        <f t="shared" si="8"/>
        <v>2.4000000000000004</v>
      </c>
      <c r="L40" s="604">
        <f t="shared" si="15"/>
        <v>9.6</v>
      </c>
      <c r="M40" s="604">
        <v>8</v>
      </c>
      <c r="N40" s="604">
        <f t="shared" si="9"/>
        <v>1.6</v>
      </c>
      <c r="O40" s="643">
        <f t="shared" si="10"/>
        <v>6.4</v>
      </c>
      <c r="P40" s="597">
        <f t="shared" si="18"/>
        <v>844.92000000000019</v>
      </c>
      <c r="Q40" s="603">
        <f t="shared" si="16"/>
        <v>3379.68</v>
      </c>
      <c r="R40" s="603">
        <f t="shared" si="11"/>
        <v>4224.6000000000004</v>
      </c>
      <c r="S40" s="597">
        <f t="shared" si="19"/>
        <v>563.28000000000009</v>
      </c>
      <c r="T40" s="603">
        <f t="shared" si="17"/>
        <v>2253.1200000000003</v>
      </c>
      <c r="U40" s="603">
        <f t="shared" si="13"/>
        <v>2816.4000000000005</v>
      </c>
      <c r="V40" s="280" t="s">
        <v>544</v>
      </c>
    </row>
    <row r="41" spans="1:26" ht="30">
      <c r="A41" s="1"/>
      <c r="B41" s="200" t="s">
        <v>545</v>
      </c>
      <c r="C41" s="472" t="s">
        <v>546</v>
      </c>
      <c r="D41" s="201" t="s">
        <v>362</v>
      </c>
      <c r="E41" s="202">
        <v>1171.3499999999999</v>
      </c>
      <c r="F41" s="203"/>
      <c r="G41" s="204">
        <v>0</v>
      </c>
      <c r="H41" s="288">
        <v>1</v>
      </c>
      <c r="I41" s="864">
        <v>2</v>
      </c>
      <c r="J41" s="604">
        <v>5</v>
      </c>
      <c r="K41" s="604">
        <f t="shared" si="8"/>
        <v>1</v>
      </c>
      <c r="L41" s="604">
        <f t="shared" si="15"/>
        <v>4</v>
      </c>
      <c r="M41" s="638">
        <v>10</v>
      </c>
      <c r="N41" s="638">
        <f t="shared" si="9"/>
        <v>2</v>
      </c>
      <c r="O41" s="642">
        <f t="shared" si="10"/>
        <v>8</v>
      </c>
      <c r="P41" s="597">
        <f t="shared" si="18"/>
        <v>1171.3499999999999</v>
      </c>
      <c r="Q41" s="639">
        <f t="shared" si="16"/>
        <v>4685.3999999999996</v>
      </c>
      <c r="R41" s="639">
        <f t="shared" si="11"/>
        <v>5856.75</v>
      </c>
      <c r="S41" s="597">
        <f t="shared" si="19"/>
        <v>2342.6999999999998</v>
      </c>
      <c r="T41" s="639">
        <f t="shared" si="17"/>
        <v>9370.7999999999993</v>
      </c>
      <c r="U41" s="639">
        <f t="shared" si="13"/>
        <v>11713.5</v>
      </c>
      <c r="V41"/>
    </row>
    <row r="42" spans="1:26" ht="75" customHeight="1">
      <c r="A42" s="1"/>
      <c r="B42" s="286" t="s">
        <v>547</v>
      </c>
      <c r="C42" s="473" t="s">
        <v>431</v>
      </c>
      <c r="D42" s="476" t="s">
        <v>362</v>
      </c>
      <c r="E42" s="203">
        <v>24.89</v>
      </c>
      <c r="F42" s="276"/>
      <c r="G42" s="277">
        <v>7</v>
      </c>
      <c r="H42" s="290">
        <v>1</v>
      </c>
      <c r="I42" s="864">
        <v>20</v>
      </c>
      <c r="J42" s="604"/>
      <c r="K42" s="604">
        <f>K38+K39+K40+K41</f>
        <v>7</v>
      </c>
      <c r="L42" s="604">
        <v>0</v>
      </c>
      <c r="M42" s="641"/>
      <c r="N42" s="641">
        <f>N38+N39+N40+N41</f>
        <v>8</v>
      </c>
      <c r="O42" s="641">
        <v>0</v>
      </c>
      <c r="P42" s="597">
        <f t="shared" si="18"/>
        <v>174.23000000000002</v>
      </c>
      <c r="Q42" s="641">
        <f t="shared" si="16"/>
        <v>0</v>
      </c>
      <c r="R42" s="641">
        <f>P42+Q42</f>
        <v>174.23000000000002</v>
      </c>
      <c r="S42" s="597">
        <v>0</v>
      </c>
      <c r="T42" s="641">
        <f t="shared" si="17"/>
        <v>0</v>
      </c>
      <c r="U42" s="641">
        <f t="shared" si="13"/>
        <v>0</v>
      </c>
      <c r="V42"/>
    </row>
    <row r="43" spans="1:26" s="470" customFormat="1" ht="110.25" customHeight="1">
      <c r="A43" s="469"/>
      <c r="B43" s="287" t="s">
        <v>548</v>
      </c>
      <c r="C43" s="471" t="s">
        <v>549</v>
      </c>
      <c r="D43" s="474" t="s">
        <v>362</v>
      </c>
      <c r="E43" s="475">
        <v>2.75</v>
      </c>
      <c r="F43" s="281"/>
      <c r="G43" s="277">
        <v>7</v>
      </c>
      <c r="H43" s="278">
        <v>1</v>
      </c>
      <c r="I43" s="865">
        <v>84</v>
      </c>
      <c r="J43" s="279"/>
      <c r="K43" s="279">
        <f>SUM(K28:K37)</f>
        <v>1987.0000000000002</v>
      </c>
      <c r="L43" s="279">
        <v>0</v>
      </c>
      <c r="M43" s="468"/>
      <c r="N43" s="468">
        <f>SUM(N28:N37)</f>
        <v>2153</v>
      </c>
      <c r="O43" s="640">
        <v>0</v>
      </c>
      <c r="P43" s="597">
        <f t="shared" si="18"/>
        <v>5464.2500000000009</v>
      </c>
      <c r="Q43" s="640">
        <f t="shared" si="16"/>
        <v>0</v>
      </c>
      <c r="R43" s="640">
        <f t="shared" si="11"/>
        <v>5464.2500000000009</v>
      </c>
      <c r="S43" s="597">
        <v>0</v>
      </c>
      <c r="T43" s="640">
        <f t="shared" si="17"/>
        <v>0</v>
      </c>
      <c r="U43" s="640">
        <f t="shared" si="13"/>
        <v>0</v>
      </c>
    </row>
    <row r="44" spans="1:26" ht="15.75">
      <c r="A44" s="2"/>
      <c r="B44" s="282"/>
      <c r="C44" s="283"/>
      <c r="D44" s="283"/>
      <c r="E44" s="284"/>
      <c r="F44" s="285"/>
      <c r="G44" s="272"/>
      <c r="H44" s="273"/>
      <c r="I44" s="861" t="s">
        <v>31</v>
      </c>
      <c r="J44" s="274"/>
      <c r="K44" s="274"/>
      <c r="L44" s="274"/>
      <c r="M44" s="274"/>
      <c r="N44" s="274"/>
      <c r="O44" s="274"/>
      <c r="P44" s="275">
        <f t="shared" ref="P44:U44" si="20">SUM(P27:P42)</f>
        <v>1580720.5859999999</v>
      </c>
      <c r="Q44" s="275">
        <f t="shared" si="20"/>
        <v>5174226.6720000003</v>
      </c>
      <c r="R44" s="275">
        <f t="shared" si="20"/>
        <v>6754947.2580000004</v>
      </c>
      <c r="S44" s="275">
        <f t="shared" si="20"/>
        <v>1831589.5999999999</v>
      </c>
      <c r="T44" s="318">
        <f t="shared" si="20"/>
        <v>6039196</v>
      </c>
      <c r="U44" s="320">
        <f t="shared" si="20"/>
        <v>7870785.6000000015</v>
      </c>
      <c r="V44"/>
    </row>
    <row r="45" spans="1:26" ht="15.75">
      <c r="A45" s="2"/>
      <c r="B45" s="1659" t="s">
        <v>550</v>
      </c>
      <c r="C45" s="1659"/>
      <c r="D45" s="1659"/>
      <c r="E45" s="1659"/>
      <c r="F45" s="1659"/>
      <c r="G45" s="253"/>
      <c r="H45" s="8"/>
      <c r="I45" s="8"/>
      <c r="J45" s="8"/>
      <c r="K45" s="8"/>
      <c r="L45" s="862"/>
      <c r="M45" s="8"/>
      <c r="N45" s="8"/>
      <c r="O45" s="8"/>
      <c r="P45" s="8"/>
      <c r="Q45" s="8"/>
      <c r="R45" s="8"/>
      <c r="S45" s="8"/>
      <c r="T45" s="8"/>
      <c r="U45" s="8"/>
      <c r="V45" s="478"/>
      <c r="W45" s="8"/>
      <c r="X45" s="8"/>
      <c r="Y45" s="9"/>
      <c r="Z45" s="9"/>
    </row>
    <row r="46" spans="1:26" ht="14.25">
      <c r="B46" s="17"/>
      <c r="C46" s="17"/>
      <c r="D46" s="17"/>
      <c r="E46" s="17"/>
      <c r="F46" s="17"/>
      <c r="G46" s="17"/>
      <c r="H46" s="17"/>
      <c r="I46" s="17"/>
      <c r="J46" s="17"/>
      <c r="K46" s="866"/>
      <c r="L46" s="17"/>
      <c r="M46" s="17"/>
      <c r="N46" s="17"/>
      <c r="O46" s="17"/>
      <c r="P46" s="17"/>
      <c r="Q46" s="17"/>
      <c r="R46" s="17"/>
      <c r="S46" s="17"/>
      <c r="T46" s="17"/>
      <c r="U46" s="17"/>
      <c r="V46" s="479"/>
      <c r="W46" s="17"/>
      <c r="X46" s="17"/>
      <c r="Y46" s="17"/>
      <c r="Z46" s="17"/>
    </row>
    <row r="47" spans="1:26" ht="14.25">
      <c r="B47" s="17"/>
      <c r="C47" s="17"/>
      <c r="D47" s="17"/>
      <c r="E47" s="17"/>
      <c r="F47" s="17"/>
      <c r="G47" s="17"/>
      <c r="H47" s="17"/>
      <c r="I47" s="17"/>
      <c r="J47" s="17"/>
      <c r="K47" s="17"/>
      <c r="L47" s="17"/>
      <c r="M47" s="17"/>
      <c r="N47" s="17"/>
      <c r="O47" s="17"/>
      <c r="P47" s="17"/>
      <c r="Q47" s="17"/>
      <c r="R47" s="17"/>
      <c r="S47" s="17"/>
      <c r="T47" s="17"/>
      <c r="U47" s="17"/>
      <c r="V47" s="479"/>
      <c r="W47" s="17"/>
      <c r="X47" s="17"/>
      <c r="Y47" s="17"/>
      <c r="Z47" s="17"/>
    </row>
    <row r="48" spans="1:26" ht="14.25">
      <c r="B48" s="17"/>
      <c r="C48" s="17"/>
      <c r="D48" s="17"/>
      <c r="E48" s="17"/>
      <c r="F48" s="17"/>
      <c r="G48" s="17"/>
      <c r="H48" s="17"/>
      <c r="I48" s="17"/>
      <c r="J48" s="17"/>
      <c r="K48" s="17"/>
      <c r="L48" s="17"/>
      <c r="M48" s="17"/>
      <c r="N48" s="17"/>
      <c r="O48" s="17"/>
      <c r="P48" s="17"/>
      <c r="Q48" s="17"/>
      <c r="R48" s="17"/>
      <c r="S48" s="17"/>
      <c r="T48" s="17"/>
      <c r="U48" s="17"/>
      <c r="V48" s="479"/>
      <c r="W48" s="17"/>
      <c r="X48" s="17"/>
      <c r="Y48" s="17"/>
      <c r="Z48" s="17"/>
    </row>
    <row r="49" spans="2:26" ht="30">
      <c r="B49" s="205" t="s">
        <v>551</v>
      </c>
      <c r="C49" s="205" t="s">
        <v>552</v>
      </c>
      <c r="D49" s="206" t="s">
        <v>553</v>
      </c>
      <c r="E49" s="206" t="s">
        <v>554</v>
      </c>
      <c r="F49" s="206" t="s">
        <v>555</v>
      </c>
      <c r="G49" s="206"/>
      <c r="H49" s="205" t="s">
        <v>556</v>
      </c>
      <c r="I49" s="205"/>
      <c r="J49" s="205"/>
      <c r="K49" s="205"/>
      <c r="L49" s="206" t="s">
        <v>557</v>
      </c>
      <c r="M49" s="206"/>
      <c r="N49" s="206"/>
      <c r="O49" s="206"/>
      <c r="P49" s="17"/>
      <c r="Q49" s="17"/>
      <c r="S49" s="17"/>
      <c r="T49" s="17"/>
      <c r="U49" s="17"/>
      <c r="V49" s="479"/>
      <c r="W49" s="17"/>
      <c r="X49" s="17"/>
      <c r="Y49" s="17"/>
      <c r="Z49" s="17"/>
    </row>
    <row r="50" spans="2:26" ht="30">
      <c r="B50" s="207" t="s">
        <v>558</v>
      </c>
      <c r="C50" s="208" t="s">
        <v>559</v>
      </c>
      <c r="D50" s="209" t="s">
        <v>560</v>
      </c>
      <c r="E50" s="210">
        <v>13290</v>
      </c>
      <c r="F50" s="211"/>
      <c r="G50" s="211"/>
      <c r="H50" s="210">
        <v>13290</v>
      </c>
      <c r="I50" s="210"/>
      <c r="J50" s="210"/>
      <c r="K50" s="210"/>
      <c r="L50" s="209"/>
      <c r="M50" s="212"/>
      <c r="N50" s="212"/>
      <c r="O50" s="212"/>
      <c r="P50" s="17"/>
      <c r="Q50" s="17"/>
      <c r="R50" s="17"/>
      <c r="S50" s="17"/>
      <c r="T50" s="17"/>
      <c r="U50" s="17"/>
      <c r="V50" s="479"/>
      <c r="W50" s="17"/>
      <c r="X50" s="17"/>
      <c r="Y50" s="17"/>
      <c r="Z50" s="17"/>
    </row>
    <row r="51" spans="2:26" ht="15" customHeight="1">
      <c r="B51" s="213" t="s">
        <v>561</v>
      </c>
      <c r="C51" s="213" t="s">
        <v>562</v>
      </c>
      <c r="D51" s="214" t="s">
        <v>563</v>
      </c>
      <c r="E51" s="215">
        <v>6851</v>
      </c>
      <c r="F51" s="216" t="s">
        <v>564</v>
      </c>
      <c r="G51" s="216"/>
      <c r="H51" s="215">
        <v>7806</v>
      </c>
      <c r="I51" s="215"/>
      <c r="J51" s="215"/>
      <c r="K51" s="215"/>
      <c r="L51" s="214" t="s">
        <v>565</v>
      </c>
      <c r="M51" s="217"/>
      <c r="N51" s="217"/>
      <c r="O51" s="217"/>
    </row>
    <row r="52" spans="2:26" ht="15" customHeight="1">
      <c r="B52" s="207" t="s">
        <v>566</v>
      </c>
      <c r="C52" s="207" t="s">
        <v>567</v>
      </c>
      <c r="D52" s="209" t="s">
        <v>568</v>
      </c>
      <c r="E52" s="210">
        <v>1695</v>
      </c>
      <c r="F52" s="211" t="s">
        <v>569</v>
      </c>
      <c r="G52" s="211"/>
      <c r="H52" s="210">
        <v>7234</v>
      </c>
      <c r="I52" s="210"/>
      <c r="J52" s="210"/>
      <c r="K52" s="210"/>
      <c r="L52" s="209" t="s">
        <v>570</v>
      </c>
      <c r="M52" s="212"/>
      <c r="N52" s="212"/>
      <c r="O52" s="212"/>
    </row>
    <row r="53" spans="2:26" ht="15" customHeight="1">
      <c r="B53" s="213" t="s">
        <v>571</v>
      </c>
      <c r="C53" s="213" t="s">
        <v>562</v>
      </c>
      <c r="D53" s="214" t="s">
        <v>572</v>
      </c>
      <c r="E53" s="215">
        <v>3167</v>
      </c>
      <c r="F53" s="216"/>
      <c r="G53" s="216"/>
      <c r="H53" s="860">
        <v>3167</v>
      </c>
      <c r="I53" s="860"/>
      <c r="J53" s="860"/>
      <c r="K53" s="860"/>
      <c r="L53" s="214"/>
      <c r="M53" s="217"/>
      <c r="N53" s="217"/>
      <c r="O53" s="217"/>
    </row>
    <row r="54" spans="2:26" ht="15" customHeight="1">
      <c r="F54" s="218" t="s">
        <v>573</v>
      </c>
      <c r="G54" s="218"/>
    </row>
    <row r="55" spans="2:26" ht="15" customHeight="1">
      <c r="H55" s="596">
        <f>M4</f>
        <v>0</v>
      </c>
      <c r="I55" s="316"/>
      <c r="J55" s="316"/>
      <c r="K55" s="316"/>
      <c r="L55" s="316" t="s">
        <v>574</v>
      </c>
    </row>
    <row r="56" spans="2:26" ht="15" customHeight="1">
      <c r="B56" s="219" t="s">
        <v>575</v>
      </c>
      <c r="H56" s="596">
        <f>M6</f>
        <v>0</v>
      </c>
      <c r="I56" s="316"/>
      <c r="J56" s="316"/>
      <c r="K56" s="316"/>
      <c r="L56" s="316" t="s">
        <v>576</v>
      </c>
    </row>
    <row r="57" spans="2:26" ht="15" customHeight="1">
      <c r="B57" s="217"/>
    </row>
    <row r="58" spans="2:26" ht="15" customHeight="1">
      <c r="B58" s="220" t="s">
        <v>577</v>
      </c>
    </row>
    <row r="59" spans="2:26" ht="15" customHeight="1">
      <c r="B59" s="221" t="s">
        <v>1090</v>
      </c>
    </row>
    <row r="60" spans="2:26" ht="15" customHeight="1">
      <c r="B60" s="220" t="s">
        <v>1091</v>
      </c>
    </row>
    <row r="61" spans="2:26" ht="15" customHeight="1">
      <c r="B61" s="220"/>
    </row>
    <row r="62" spans="2:26" ht="15" customHeight="1">
      <c r="B62" s="220" t="s">
        <v>578</v>
      </c>
    </row>
    <row r="63" spans="2:26" ht="15" customHeight="1">
      <c r="B63" s="221" t="s">
        <v>1092</v>
      </c>
    </row>
    <row r="64" spans="2:26" ht="15" customHeight="1">
      <c r="B64" s="220"/>
    </row>
    <row r="65" spans="2:2" ht="15" customHeight="1">
      <c r="B65" s="220" t="s">
        <v>579</v>
      </c>
    </row>
    <row r="66" spans="2:2" ht="15" customHeight="1">
      <c r="B66" s="221" t="s">
        <v>580</v>
      </c>
    </row>
    <row r="67" spans="2:2" ht="15" customHeight="1">
      <c r="B67" s="220"/>
    </row>
    <row r="68" spans="2:2" ht="15" customHeight="1">
      <c r="B68" s="220" t="s">
        <v>581</v>
      </c>
    </row>
    <row r="69" spans="2:2" ht="15" customHeight="1">
      <c r="B69" s="221" t="s">
        <v>582</v>
      </c>
    </row>
  </sheetData>
  <mergeCells count="32">
    <mergeCell ref="U25:U26"/>
    <mergeCell ref="T25:T26"/>
    <mergeCell ref="D13:F13"/>
    <mergeCell ref="B25:B26"/>
    <mergeCell ref="C25:C26"/>
    <mergeCell ref="E25:E26"/>
    <mergeCell ref="F25:F26"/>
    <mergeCell ref="J25:O25"/>
    <mergeCell ref="P25:P26"/>
    <mergeCell ref="Q25:Q26"/>
    <mergeCell ref="S25:S26"/>
    <mergeCell ref="R25:R26"/>
    <mergeCell ref="R12:R14"/>
    <mergeCell ref="S12:S14"/>
    <mergeCell ref="T12:T14"/>
    <mergeCell ref="N13:N14"/>
    <mergeCell ref="O8:O9"/>
    <mergeCell ref="M8:M9"/>
    <mergeCell ref="B2:H2"/>
    <mergeCell ref="N8:N9"/>
    <mergeCell ref="B45:F45"/>
    <mergeCell ref="B12:B14"/>
    <mergeCell ref="G25:G26"/>
    <mergeCell ref="H25:H26"/>
    <mergeCell ref="I25:I26"/>
    <mergeCell ref="D12:Q12"/>
    <mergeCell ref="C12:C14"/>
    <mergeCell ref="G13:I13"/>
    <mergeCell ref="K13:M13"/>
    <mergeCell ref="Q13:Q14"/>
    <mergeCell ref="P13:P14"/>
    <mergeCell ref="O13:O14"/>
  </mergeCells>
  <phoneticPr fontId="71" type="noConversion"/>
  <hyperlinks>
    <hyperlink ref="B59" r:id="rId1" display="Additional coverage for the devices: https://www.e-tar.lt/portal/lt/legalAct/e94bd2d05b8211edbc04912defe897d1/asr (see “Consolidated version annexes” on the right)"/>
    <hyperlink ref="B63" r:id="rId2" display="DRG list can be found here: https://www.tervisekassa.ee/partnerile/raviasutusele/tervishoiuteenuste-loetelu, see the latest “List of health care services”"/>
    <hyperlink ref="B66" r:id="rId3"/>
    <hyperlink ref="B69" r:id="rId4"/>
  </hyperlinks>
  <pageMargins left="0.7" right="0.7" top="0.75" bottom="0.75" header="0.3" footer="0.3"/>
  <pageSetup scale="18" orientation="portrait" r:id="rId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E29"/>
  <sheetViews>
    <sheetView view="pageBreakPreview" zoomScaleNormal="90" zoomScaleSheetLayoutView="100" workbookViewId="0">
      <selection activeCell="A4" sqref="A4"/>
    </sheetView>
  </sheetViews>
  <sheetFormatPr defaultRowHeight="14.25"/>
  <cols>
    <col min="1" max="1" width="13.5" customWidth="1"/>
    <col min="2" max="3" width="31" customWidth="1"/>
    <col min="4" max="4" width="29.25" customWidth="1"/>
    <col min="5" max="5" width="22.75" customWidth="1"/>
    <col min="6" max="6" width="14.75" customWidth="1"/>
    <col min="7" max="7" width="15.5" customWidth="1"/>
    <col min="8" max="8" width="11.5" customWidth="1"/>
    <col min="9" max="9" width="16.875" customWidth="1"/>
    <col min="10" max="10" width="21.5" customWidth="1"/>
    <col min="11" max="11" width="15.5" customWidth="1"/>
    <col min="12" max="12" width="11.5" customWidth="1"/>
    <col min="13" max="13" width="14.5" customWidth="1"/>
    <col min="14" max="14" width="22.5" customWidth="1"/>
    <col min="15" max="15" width="19" customWidth="1"/>
    <col min="16" max="16" width="13.75" customWidth="1"/>
    <col min="17" max="17" width="14.5" customWidth="1"/>
    <col min="19" max="19" width="14.125" customWidth="1"/>
    <col min="30" max="30" width="13.5" customWidth="1"/>
  </cols>
  <sheetData>
    <row r="1" spans="1:31">
      <c r="A1" s="1"/>
      <c r="B1" s="1"/>
      <c r="C1" s="1"/>
      <c r="D1" s="1"/>
      <c r="E1" s="1"/>
      <c r="F1" s="1"/>
      <c r="G1" s="1"/>
      <c r="H1" s="1"/>
      <c r="I1" s="1"/>
      <c r="J1" s="1"/>
      <c r="K1" s="1"/>
      <c r="L1" s="1"/>
      <c r="Q1" s="166" t="s">
        <v>783</v>
      </c>
    </row>
    <row r="2" spans="1:31" ht="15.75">
      <c r="A2" s="1"/>
      <c r="D2" s="975" t="s">
        <v>781</v>
      </c>
      <c r="E2" s="976"/>
      <c r="F2" s="1"/>
      <c r="G2" s="1"/>
      <c r="H2" s="1"/>
      <c r="I2" s="1"/>
      <c r="J2" s="1"/>
      <c r="K2" s="1"/>
      <c r="L2" s="1"/>
    </row>
    <row r="3" spans="1:31">
      <c r="A3" s="1"/>
      <c r="B3" s="1"/>
      <c r="C3" s="1"/>
      <c r="D3" s="1"/>
      <c r="E3" s="1"/>
      <c r="F3" s="1"/>
      <c r="G3" s="1"/>
      <c r="H3" s="1"/>
      <c r="I3" s="1"/>
      <c r="J3" s="1"/>
      <c r="K3" s="1"/>
      <c r="L3" s="1"/>
    </row>
    <row r="4" spans="1:31" ht="60">
      <c r="A4" s="1"/>
      <c r="B4" s="4" t="s">
        <v>159</v>
      </c>
      <c r="C4" s="5" t="s">
        <v>181</v>
      </c>
      <c r="D4" s="5" t="s">
        <v>1060</v>
      </c>
      <c r="E4" s="5" t="s">
        <v>1033</v>
      </c>
      <c r="F4" s="1"/>
      <c r="G4" s="1"/>
      <c r="H4" s="1"/>
      <c r="I4" s="1"/>
      <c r="J4" s="1"/>
      <c r="K4" s="1"/>
      <c r="L4" s="1"/>
    </row>
    <row r="5" spans="1:31" ht="46.5" customHeight="1">
      <c r="A5" s="1"/>
      <c r="B5" s="85" t="s">
        <v>70</v>
      </c>
      <c r="C5" s="674">
        <v>0</v>
      </c>
      <c r="D5" s="21">
        <f>J23</f>
        <v>247567.5128</v>
      </c>
      <c r="E5" s="21">
        <f>N23</f>
        <v>346594.51792000001</v>
      </c>
      <c r="F5" s="1"/>
      <c r="G5" s="1"/>
      <c r="H5" s="1"/>
      <c r="I5" s="1"/>
      <c r="J5" s="1"/>
      <c r="K5" s="1"/>
      <c r="L5" s="1"/>
    </row>
    <row r="6" spans="1:31" ht="15.75">
      <c r="A6" s="2"/>
      <c r="B6" s="2"/>
      <c r="C6" s="2"/>
      <c r="D6" s="2"/>
      <c r="E6" s="2"/>
      <c r="F6" s="2"/>
      <c r="G6" s="2"/>
      <c r="H6" s="2"/>
      <c r="I6" s="2"/>
      <c r="J6" s="2"/>
      <c r="K6" s="3"/>
      <c r="L6" s="3"/>
    </row>
    <row r="7" spans="1:31" ht="29.25" customHeight="1">
      <c r="A7" s="22" t="s">
        <v>31</v>
      </c>
      <c r="B7" s="32" t="s">
        <v>31</v>
      </c>
      <c r="C7" s="32"/>
      <c r="D7" s="22" t="s">
        <v>31</v>
      </c>
      <c r="E7" s="22" t="s">
        <v>31</v>
      </c>
      <c r="F7" s="41" t="s">
        <v>31</v>
      </c>
      <c r="G7" s="42" t="s">
        <v>251</v>
      </c>
      <c r="H7" s="43" t="s">
        <v>252</v>
      </c>
      <c r="I7" s="43" t="s">
        <v>253</v>
      </c>
      <c r="J7" s="43" t="s">
        <v>254</v>
      </c>
      <c r="K7" s="41" t="s">
        <v>31</v>
      </c>
      <c r="L7" s="44" t="s">
        <v>31</v>
      </c>
      <c r="M7" s="44" t="s">
        <v>31</v>
      </c>
      <c r="N7" s="44" t="s">
        <v>31</v>
      </c>
      <c r="O7" s="1553" t="s">
        <v>272</v>
      </c>
      <c r="P7" s="1553" t="s">
        <v>273</v>
      </c>
      <c r="Q7" s="1553" t="s">
        <v>274</v>
      </c>
      <c r="R7" s="22" t="s">
        <v>31</v>
      </c>
      <c r="S7" s="22" t="s">
        <v>31</v>
      </c>
      <c r="T7" s="22" t="s">
        <v>31</v>
      </c>
      <c r="U7" s="22" t="s">
        <v>31</v>
      </c>
      <c r="V7" s="22" t="s">
        <v>31</v>
      </c>
      <c r="W7" s="22" t="s">
        <v>31</v>
      </c>
      <c r="X7" s="22" t="s">
        <v>31</v>
      </c>
      <c r="Y7" s="22" t="s">
        <v>31</v>
      </c>
      <c r="Z7" s="22" t="s">
        <v>31</v>
      </c>
      <c r="AA7" s="22" t="s">
        <v>31</v>
      </c>
      <c r="AB7" s="22" t="s">
        <v>31</v>
      </c>
      <c r="AC7" s="22" t="s">
        <v>31</v>
      </c>
      <c r="AD7" s="22" t="s">
        <v>31</v>
      </c>
      <c r="AE7" s="22" t="s">
        <v>31</v>
      </c>
    </row>
    <row r="8" spans="1:31" ht="34.5" customHeight="1">
      <c r="A8" s="22" t="s">
        <v>31</v>
      </c>
      <c r="B8" s="22" t="s">
        <v>31</v>
      </c>
      <c r="C8" s="22"/>
      <c r="D8" s="22" t="s">
        <v>31</v>
      </c>
      <c r="E8" s="22" t="s">
        <v>31</v>
      </c>
      <c r="F8" s="41" t="s">
        <v>255</v>
      </c>
      <c r="G8" s="45">
        <v>2304</v>
      </c>
      <c r="H8" s="46">
        <v>1388</v>
      </c>
      <c r="I8" s="46">
        <v>925</v>
      </c>
      <c r="J8" s="47" t="s">
        <v>31</v>
      </c>
      <c r="K8" s="44" t="s">
        <v>31</v>
      </c>
      <c r="L8" s="44" t="s">
        <v>31</v>
      </c>
      <c r="M8" s="44" t="s">
        <v>31</v>
      </c>
      <c r="N8" s="44" t="s">
        <v>31</v>
      </c>
      <c r="O8" s="1554"/>
      <c r="P8" s="1554"/>
      <c r="Q8" s="1554"/>
      <c r="R8" s="22" t="s">
        <v>31</v>
      </c>
      <c r="S8" s="22" t="s">
        <v>31</v>
      </c>
      <c r="T8" s="22" t="s">
        <v>31</v>
      </c>
      <c r="U8" s="22" t="s">
        <v>31</v>
      </c>
      <c r="V8" s="22" t="s">
        <v>31</v>
      </c>
      <c r="W8" s="22" t="s">
        <v>31</v>
      </c>
      <c r="X8" s="22" t="s">
        <v>31</v>
      </c>
      <c r="Y8" s="22" t="s">
        <v>31</v>
      </c>
      <c r="Z8" s="22" t="s">
        <v>31</v>
      </c>
      <c r="AA8" s="22" t="s">
        <v>31</v>
      </c>
      <c r="AB8" s="22" t="s">
        <v>31</v>
      </c>
      <c r="AC8" s="22" t="s">
        <v>31</v>
      </c>
      <c r="AD8" s="22" t="s">
        <v>31</v>
      </c>
      <c r="AE8" s="22" t="s">
        <v>31</v>
      </c>
    </row>
    <row r="9" spans="1:31" ht="30">
      <c r="A9" s="22" t="s">
        <v>31</v>
      </c>
      <c r="B9" s="22" t="s">
        <v>31</v>
      </c>
      <c r="C9" s="22"/>
      <c r="D9" s="22" t="s">
        <v>31</v>
      </c>
      <c r="E9" s="22" t="s">
        <v>31</v>
      </c>
      <c r="F9" s="41" t="s">
        <v>256</v>
      </c>
      <c r="G9" s="48">
        <f>ROUND(G8/9600,4)</f>
        <v>0.24</v>
      </c>
      <c r="H9" s="48">
        <f t="shared" ref="H9:I9" si="0">ROUND(H8/9600,4)</f>
        <v>0.14460000000000001</v>
      </c>
      <c r="I9" s="48">
        <f t="shared" si="0"/>
        <v>9.64E-2</v>
      </c>
      <c r="J9" s="47">
        <v>0.2359</v>
      </c>
      <c r="K9" s="44" t="s">
        <v>31</v>
      </c>
      <c r="L9" s="44" t="s">
        <v>31</v>
      </c>
      <c r="M9" s="44" t="s">
        <v>31</v>
      </c>
      <c r="N9" s="44" t="s">
        <v>275</v>
      </c>
      <c r="O9" s="49">
        <v>0.28570000000000001</v>
      </c>
      <c r="P9" s="50">
        <v>2.0199999999999999E-2</v>
      </c>
      <c r="Q9" s="50">
        <v>3.2199999999999999E-2</v>
      </c>
      <c r="R9" s="22" t="s">
        <v>31</v>
      </c>
      <c r="S9" s="22" t="s">
        <v>31</v>
      </c>
      <c r="T9" s="22" t="s">
        <v>31</v>
      </c>
      <c r="U9" s="22" t="s">
        <v>31</v>
      </c>
      <c r="V9" s="22" t="s">
        <v>31</v>
      </c>
      <c r="W9" s="22" t="s">
        <v>31</v>
      </c>
      <c r="X9" s="22" t="s">
        <v>31</v>
      </c>
      <c r="Y9" s="22" t="s">
        <v>31</v>
      </c>
      <c r="Z9" s="22" t="s">
        <v>31</v>
      </c>
      <c r="AA9" s="22" t="s">
        <v>31</v>
      </c>
      <c r="AB9" s="22" t="s">
        <v>31</v>
      </c>
      <c r="AC9" s="22" t="s">
        <v>31</v>
      </c>
      <c r="AD9" s="22" t="s">
        <v>31</v>
      </c>
      <c r="AE9" s="22" t="s">
        <v>31</v>
      </c>
    </row>
    <row r="10" spans="1:31" ht="15">
      <c r="A10" s="22" t="s">
        <v>31</v>
      </c>
      <c r="B10" s="22" t="s">
        <v>31</v>
      </c>
      <c r="C10" s="22"/>
      <c r="D10" s="22" t="s">
        <v>31</v>
      </c>
      <c r="E10" s="22" t="s">
        <v>31</v>
      </c>
      <c r="F10" s="23" t="s">
        <v>31</v>
      </c>
      <c r="G10" s="22" t="s">
        <v>31</v>
      </c>
      <c r="H10" s="22" t="s">
        <v>31</v>
      </c>
      <c r="I10" s="22" t="s">
        <v>31</v>
      </c>
      <c r="J10" s="22" t="s">
        <v>31</v>
      </c>
      <c r="K10" s="22" t="s">
        <v>31</v>
      </c>
      <c r="L10" s="22" t="s">
        <v>31</v>
      </c>
      <c r="M10" s="22" t="s">
        <v>31</v>
      </c>
      <c r="N10" s="22" t="s">
        <v>31</v>
      </c>
      <c r="O10" s="22" t="s">
        <v>31</v>
      </c>
      <c r="P10" s="22" t="s">
        <v>31</v>
      </c>
      <c r="Q10" s="22" t="s">
        <v>31</v>
      </c>
      <c r="R10" s="22" t="s">
        <v>31</v>
      </c>
      <c r="S10" s="22" t="s">
        <v>31</v>
      </c>
      <c r="T10" s="22" t="s">
        <v>31</v>
      </c>
      <c r="U10" s="22" t="s">
        <v>31</v>
      </c>
      <c r="V10" s="22" t="s">
        <v>31</v>
      </c>
      <c r="W10" s="22" t="s">
        <v>31</v>
      </c>
      <c r="X10" s="22" t="s">
        <v>31</v>
      </c>
      <c r="Y10" s="22" t="s">
        <v>31</v>
      </c>
      <c r="Z10" s="22" t="s">
        <v>31</v>
      </c>
      <c r="AA10" s="22" t="s">
        <v>31</v>
      </c>
      <c r="AB10" s="22" t="s">
        <v>31</v>
      </c>
      <c r="AC10" s="22" t="s">
        <v>31</v>
      </c>
      <c r="AD10" s="22" t="s">
        <v>31</v>
      </c>
      <c r="AE10" s="22" t="s">
        <v>31</v>
      </c>
    </row>
    <row r="11" spans="1:31" ht="19.5" customHeight="1">
      <c r="A11" s="1681" t="s">
        <v>183</v>
      </c>
      <c r="B11" s="1681" t="s">
        <v>182</v>
      </c>
      <c r="C11" s="1692" t="s">
        <v>276</v>
      </c>
      <c r="D11" s="1693"/>
      <c r="E11" s="1693"/>
      <c r="F11" s="1693"/>
      <c r="G11" s="1693"/>
      <c r="H11" s="1693"/>
      <c r="I11" s="1693"/>
      <c r="J11" s="1693"/>
      <c r="K11" s="1693"/>
      <c r="L11" s="1693"/>
      <c r="M11" s="1693"/>
      <c r="N11" s="1693"/>
      <c r="O11" s="1693"/>
      <c r="P11" s="1694"/>
      <c r="Q11" s="1685" t="s">
        <v>277</v>
      </c>
      <c r="R11" s="1685" t="s">
        <v>278</v>
      </c>
      <c r="S11" s="1685" t="s">
        <v>184</v>
      </c>
      <c r="T11" s="24" t="s">
        <v>31</v>
      </c>
      <c r="U11" s="24" t="s">
        <v>31</v>
      </c>
      <c r="V11" s="24" t="s">
        <v>31</v>
      </c>
      <c r="W11" s="24" t="s">
        <v>31</v>
      </c>
      <c r="X11" s="24" t="s">
        <v>31</v>
      </c>
      <c r="Y11" s="24" t="s">
        <v>31</v>
      </c>
      <c r="Z11" s="24" t="s">
        <v>31</v>
      </c>
      <c r="AA11" s="24" t="s">
        <v>31</v>
      </c>
      <c r="AB11" s="24" t="s">
        <v>31</v>
      </c>
      <c r="AC11" s="24" t="s">
        <v>31</v>
      </c>
      <c r="AD11" s="24" t="s">
        <v>31</v>
      </c>
    </row>
    <row r="12" spans="1:31" ht="43.5" customHeight="1">
      <c r="A12" s="1682"/>
      <c r="B12" s="1682"/>
      <c r="C12" s="1689" t="s">
        <v>279</v>
      </c>
      <c r="D12" s="1690"/>
      <c r="E12" s="1691"/>
      <c r="F12" s="1689" t="s">
        <v>280</v>
      </c>
      <c r="G12" s="1690"/>
      <c r="H12" s="1691"/>
      <c r="I12" s="25" t="s">
        <v>315</v>
      </c>
      <c r="J12" s="1689" t="s">
        <v>282</v>
      </c>
      <c r="K12" s="1690"/>
      <c r="L12" s="1691"/>
      <c r="M12" s="1685" t="s">
        <v>283</v>
      </c>
      <c r="N12" s="1685" t="s">
        <v>284</v>
      </c>
      <c r="O12" s="1685" t="s">
        <v>285</v>
      </c>
      <c r="P12" s="1685" t="s">
        <v>286</v>
      </c>
      <c r="Q12" s="1686"/>
      <c r="R12" s="1686"/>
      <c r="S12" s="1686"/>
      <c r="T12" s="26" t="s">
        <v>31</v>
      </c>
      <c r="U12" s="26" t="s">
        <v>31</v>
      </c>
      <c r="V12" s="26" t="s">
        <v>31</v>
      </c>
      <c r="W12" s="26" t="s">
        <v>31</v>
      </c>
      <c r="X12" s="26" t="s">
        <v>31</v>
      </c>
      <c r="Y12" s="26" t="s">
        <v>31</v>
      </c>
      <c r="Z12" s="26" t="s">
        <v>31</v>
      </c>
      <c r="AA12" s="26" t="s">
        <v>31</v>
      </c>
      <c r="AB12" s="26" t="s">
        <v>31</v>
      </c>
      <c r="AC12" s="26" t="s">
        <v>31</v>
      </c>
      <c r="AD12" s="26" t="s">
        <v>31</v>
      </c>
    </row>
    <row r="13" spans="1:31" ht="29.25" customHeight="1">
      <c r="A13" s="1683"/>
      <c r="B13" s="1683"/>
      <c r="C13" s="983" t="s">
        <v>287</v>
      </c>
      <c r="D13" s="983" t="s">
        <v>288</v>
      </c>
      <c r="E13" s="983" t="s">
        <v>289</v>
      </c>
      <c r="F13" s="983" t="s">
        <v>287</v>
      </c>
      <c r="G13" s="983" t="s">
        <v>288</v>
      </c>
      <c r="H13" s="983" t="s">
        <v>290</v>
      </c>
      <c r="I13" s="983" t="s">
        <v>291</v>
      </c>
      <c r="J13" s="983" t="s">
        <v>292</v>
      </c>
      <c r="K13" s="983" t="s">
        <v>293</v>
      </c>
      <c r="L13" s="983" t="s">
        <v>294</v>
      </c>
      <c r="M13" s="1687"/>
      <c r="N13" s="1687"/>
      <c r="O13" s="1687"/>
      <c r="P13" s="1687"/>
      <c r="Q13" s="1687"/>
      <c r="R13" s="1687"/>
      <c r="S13" s="1687"/>
      <c r="T13" s="40" t="s">
        <v>316</v>
      </c>
      <c r="U13" s="40" t="s">
        <v>317</v>
      </c>
      <c r="V13" s="40" t="s">
        <v>318</v>
      </c>
      <c r="W13" s="40" t="s">
        <v>319</v>
      </c>
      <c r="X13" s="40" t="s">
        <v>320</v>
      </c>
      <c r="Y13" s="40" t="s">
        <v>321</v>
      </c>
      <c r="Z13" s="40" t="s">
        <v>322</v>
      </c>
      <c r="AA13" s="40" t="s">
        <v>323</v>
      </c>
      <c r="AB13" s="983" t="s">
        <v>324</v>
      </c>
      <c r="AC13" s="983" t="s">
        <v>325</v>
      </c>
      <c r="AD13" s="40" t="s">
        <v>326</v>
      </c>
    </row>
    <row r="14" spans="1:31" ht="15">
      <c r="A14" s="30">
        <v>1</v>
      </c>
      <c r="B14" s="979">
        <v>2</v>
      </c>
      <c r="C14" s="979">
        <v>3</v>
      </c>
      <c r="D14" s="27">
        <v>4</v>
      </c>
      <c r="E14" s="31">
        <v>5</v>
      </c>
      <c r="F14" s="27">
        <v>6</v>
      </c>
      <c r="G14" s="27">
        <v>7</v>
      </c>
      <c r="H14" s="27">
        <v>8</v>
      </c>
      <c r="I14" s="27">
        <v>9</v>
      </c>
      <c r="J14" s="27" t="s">
        <v>419</v>
      </c>
      <c r="K14" s="27">
        <v>11</v>
      </c>
      <c r="L14" s="27">
        <v>12</v>
      </c>
      <c r="M14" s="27">
        <v>13</v>
      </c>
      <c r="N14" s="27">
        <v>14</v>
      </c>
      <c r="O14" s="27">
        <v>15</v>
      </c>
      <c r="P14" s="27">
        <v>16</v>
      </c>
      <c r="Q14" s="27">
        <v>17</v>
      </c>
      <c r="R14" s="27">
        <v>18</v>
      </c>
      <c r="S14" s="27">
        <v>19</v>
      </c>
      <c r="T14" s="27">
        <v>20</v>
      </c>
      <c r="U14" s="27">
        <v>21</v>
      </c>
      <c r="V14" s="27">
        <v>22</v>
      </c>
      <c r="W14" s="27">
        <v>23</v>
      </c>
      <c r="X14" s="27">
        <v>24</v>
      </c>
      <c r="Y14" s="27">
        <v>25</v>
      </c>
      <c r="Z14" s="27">
        <v>26</v>
      </c>
      <c r="AA14" s="27">
        <v>27</v>
      </c>
      <c r="AB14" s="27">
        <v>28</v>
      </c>
      <c r="AC14" s="27">
        <v>29</v>
      </c>
      <c r="AD14" s="27">
        <v>30</v>
      </c>
    </row>
    <row r="15" spans="1:31" ht="48.75" customHeight="1">
      <c r="A15" s="982" t="s">
        <v>344</v>
      </c>
      <c r="B15" s="980" t="s">
        <v>585</v>
      </c>
      <c r="C15" s="49">
        <v>240</v>
      </c>
      <c r="D15" s="83">
        <v>280</v>
      </c>
      <c r="E15" s="83">
        <v>0</v>
      </c>
      <c r="F15" s="84">
        <f>C15*G9</f>
        <v>57.599999999999994</v>
      </c>
      <c r="G15" s="84">
        <f>D15*H9</f>
        <v>40.488</v>
      </c>
      <c r="H15" s="83">
        <v>0</v>
      </c>
      <c r="I15" s="35">
        <f>(F15+G15)*J9</f>
        <v>23.138959199999999</v>
      </c>
      <c r="J15" s="33">
        <f>K15+L15</f>
        <v>2287.71</v>
      </c>
      <c r="K15" s="33">
        <v>86.34</v>
      </c>
      <c r="L15" s="33">
        <v>2201.37</v>
      </c>
      <c r="M15" s="34">
        <v>19.100000000000001</v>
      </c>
      <c r="N15" s="35">
        <f>(F15+G15)*O9</f>
        <v>28.023741599999997</v>
      </c>
      <c r="O15" s="35">
        <f>(F15+G15)*P9</f>
        <v>1.9813775999999999</v>
      </c>
      <c r="P15" s="35">
        <f>(F15+G15)*Q9</f>
        <v>3.1584336</v>
      </c>
      <c r="Q15" s="36">
        <f>F15+G15+I15+J15+M15+N15+O15+P15</f>
        <v>2461.2005119999999</v>
      </c>
      <c r="R15" s="37">
        <v>0</v>
      </c>
      <c r="S15" s="36">
        <f>Q15-R15</f>
        <v>2461.2005119999999</v>
      </c>
      <c r="T15" s="38">
        <f>F15+G15</f>
        <v>98.087999999999994</v>
      </c>
      <c r="U15" s="33">
        <f>I15</f>
        <v>23.138959199999999</v>
      </c>
      <c r="V15" s="33">
        <f>J15</f>
        <v>2287.71</v>
      </c>
      <c r="W15" s="33">
        <v>0</v>
      </c>
      <c r="X15" s="39">
        <f>N15</f>
        <v>28.023741599999997</v>
      </c>
      <c r="Y15" s="39">
        <f>O15</f>
        <v>1.9813775999999999</v>
      </c>
      <c r="Z15" s="39">
        <f>M15+P15</f>
        <v>22.2584336</v>
      </c>
      <c r="AA15" s="33">
        <v>0</v>
      </c>
      <c r="AB15" s="39">
        <f>SUM(T15:AA15)</f>
        <v>2461.2005119999999</v>
      </c>
      <c r="AC15" s="33">
        <v>0</v>
      </c>
      <c r="AD15" s="39">
        <f>AB15-AC15</f>
        <v>2461.2005119999999</v>
      </c>
    </row>
    <row r="16" spans="1:31" ht="78" customHeight="1">
      <c r="A16" s="982" t="s">
        <v>344</v>
      </c>
      <c r="B16" s="82" t="s">
        <v>586</v>
      </c>
      <c r="C16" s="49">
        <v>0</v>
      </c>
      <c r="D16" s="83">
        <v>0</v>
      </c>
      <c r="E16" s="83">
        <v>0</v>
      </c>
      <c r="F16" s="84">
        <f>C16*G9</f>
        <v>0</v>
      </c>
      <c r="G16" s="84">
        <f>D16*H9</f>
        <v>0</v>
      </c>
      <c r="H16" s="83">
        <v>0</v>
      </c>
      <c r="I16" s="35">
        <f>(F16+G16)*J9</f>
        <v>0</v>
      </c>
      <c r="J16" s="33">
        <f>K16+L16</f>
        <v>7441.5</v>
      </c>
      <c r="K16" s="33">
        <v>0</v>
      </c>
      <c r="L16" s="33">
        <v>7441.5</v>
      </c>
      <c r="M16" s="34">
        <v>0</v>
      </c>
      <c r="N16" s="35">
        <f>(F16+G16)*O9</f>
        <v>0</v>
      </c>
      <c r="O16" s="35">
        <f>(F16+G16)*P9</f>
        <v>0</v>
      </c>
      <c r="P16" s="35">
        <f>(F16+G16)*Q9</f>
        <v>0</v>
      </c>
      <c r="Q16" s="36">
        <f>F16+G16+I16+J16+M16+N16+O16+P16</f>
        <v>7441.5</v>
      </c>
      <c r="R16" s="37">
        <v>0</v>
      </c>
      <c r="S16" s="36">
        <f>Q16-R16</f>
        <v>7441.5</v>
      </c>
      <c r="T16" s="38">
        <f>F16+G16</f>
        <v>0</v>
      </c>
      <c r="U16" s="33">
        <f>I16</f>
        <v>0</v>
      </c>
      <c r="V16" s="33">
        <f>J16</f>
        <v>7441.5</v>
      </c>
      <c r="W16" s="33">
        <v>0</v>
      </c>
      <c r="X16" s="39">
        <f>N16</f>
        <v>0</v>
      </c>
      <c r="Y16" s="39">
        <f>O16</f>
        <v>0</v>
      </c>
      <c r="Z16" s="39">
        <f>M16+P16</f>
        <v>0</v>
      </c>
      <c r="AA16" s="33">
        <v>0</v>
      </c>
      <c r="AB16" s="39">
        <f>SUM(T16:AA16)</f>
        <v>7441.5</v>
      </c>
      <c r="AC16" s="33">
        <v>0</v>
      </c>
      <c r="AD16" s="39">
        <f>AB16-AC16</f>
        <v>7441.5</v>
      </c>
    </row>
    <row r="17" spans="1:16" ht="15.75">
      <c r="A17" s="2"/>
      <c r="B17" s="2"/>
      <c r="C17" s="2"/>
      <c r="D17" s="2"/>
      <c r="E17" s="2"/>
      <c r="F17" s="2"/>
      <c r="G17" s="2"/>
      <c r="H17" s="2"/>
      <c r="I17" s="2"/>
      <c r="J17" s="3"/>
      <c r="K17" s="3"/>
    </row>
    <row r="18" spans="1:16" ht="15.75">
      <c r="A18" s="2"/>
      <c r="B18" s="2"/>
      <c r="C18" s="2"/>
      <c r="D18" s="2"/>
      <c r="E18" s="2"/>
      <c r="F18" s="2"/>
      <c r="G18" s="2"/>
      <c r="H18" s="2"/>
      <c r="I18" s="2"/>
      <c r="J18" s="3"/>
      <c r="K18" s="3"/>
    </row>
    <row r="19" spans="1:16" ht="67.5" customHeight="1">
      <c r="A19" s="1"/>
      <c r="B19" s="1675" t="s">
        <v>183</v>
      </c>
      <c r="C19" s="1676" t="s">
        <v>182</v>
      </c>
      <c r="D19" s="1676" t="s">
        <v>195</v>
      </c>
      <c r="E19" s="1676" t="s">
        <v>196</v>
      </c>
      <c r="F19" s="1676" t="s">
        <v>197</v>
      </c>
      <c r="G19" s="1678" t="s">
        <v>587</v>
      </c>
      <c r="H19" s="1679"/>
      <c r="I19" s="1680"/>
      <c r="J19" s="1676" t="s">
        <v>1061</v>
      </c>
      <c r="K19" s="1678" t="s">
        <v>854</v>
      </c>
      <c r="L19" s="1679"/>
      <c r="M19" s="1680"/>
      <c r="N19" s="899" t="s">
        <v>1062</v>
      </c>
      <c r="P19" s="440"/>
    </row>
    <row r="20" spans="1:16" ht="31.5">
      <c r="A20" s="1"/>
      <c r="B20" s="1675"/>
      <c r="C20" s="1688"/>
      <c r="D20" s="1677"/>
      <c r="E20" s="1677"/>
      <c r="F20" s="1677"/>
      <c r="G20" s="7" t="s">
        <v>308</v>
      </c>
      <c r="H20" s="15" t="s">
        <v>309</v>
      </c>
      <c r="I20" s="15" t="s">
        <v>310</v>
      </c>
      <c r="J20" s="1677"/>
      <c r="K20" s="7" t="s">
        <v>308</v>
      </c>
      <c r="L20" s="15" t="s">
        <v>309</v>
      </c>
      <c r="M20" s="441" t="s">
        <v>310</v>
      </c>
      <c r="N20" s="899"/>
    </row>
    <row r="21" spans="1:16" ht="47.25" customHeight="1">
      <c r="A21" s="1"/>
      <c r="B21" s="981" t="s">
        <v>344</v>
      </c>
      <c r="C21" s="673" t="s">
        <v>585</v>
      </c>
      <c r="D21" s="605">
        <f>Q15</f>
        <v>2461.2005119999999</v>
      </c>
      <c r="E21" s="12">
        <v>0</v>
      </c>
      <c r="F21" s="13">
        <v>1</v>
      </c>
      <c r="G21" s="14">
        <v>0</v>
      </c>
      <c r="H21" s="14">
        <v>0</v>
      </c>
      <c r="I21" s="14">
        <v>25</v>
      </c>
      <c r="J21" s="29">
        <f>D21*F21*I21</f>
        <v>61530.012799999997</v>
      </c>
      <c r="K21" s="14">
        <v>0</v>
      </c>
      <c r="L21" s="14">
        <v>0</v>
      </c>
      <c r="M21" s="442">
        <v>35</v>
      </c>
      <c r="N21" s="606">
        <f>M21*D21</f>
        <v>86142.017919999998</v>
      </c>
    </row>
    <row r="22" spans="1:16" ht="78" customHeight="1">
      <c r="A22" s="1"/>
      <c r="B22" s="977" t="s">
        <v>344</v>
      </c>
      <c r="C22" s="978" t="s">
        <v>586</v>
      </c>
      <c r="D22" s="605">
        <f>Q16</f>
        <v>7441.5</v>
      </c>
      <c r="E22" s="12">
        <v>0</v>
      </c>
      <c r="F22" s="13">
        <v>1</v>
      </c>
      <c r="G22" s="14">
        <v>0</v>
      </c>
      <c r="H22" s="14">
        <v>0</v>
      </c>
      <c r="I22" s="14">
        <v>25</v>
      </c>
      <c r="J22" s="29">
        <f>D22*F22*I22</f>
        <v>186037.5</v>
      </c>
      <c r="K22" s="14">
        <v>0</v>
      </c>
      <c r="L22" s="14">
        <v>0</v>
      </c>
      <c r="M22" s="442">
        <v>35</v>
      </c>
      <c r="N22" s="606">
        <f>D22*M22</f>
        <v>260452.5</v>
      </c>
    </row>
    <row r="23" spans="1:16" ht="15.75">
      <c r="A23" s="2"/>
      <c r="B23" s="8"/>
      <c r="C23" s="8"/>
      <c r="D23" s="10"/>
      <c r="E23" s="10"/>
      <c r="F23" s="10"/>
      <c r="G23" s="28"/>
      <c r="H23" s="11"/>
      <c r="I23" s="11" t="s">
        <v>193</v>
      </c>
      <c r="J23" s="65">
        <f>SUM(J21:J22)</f>
        <v>247567.5128</v>
      </c>
      <c r="K23" s="65"/>
      <c r="L23" s="65"/>
      <c r="M23" s="65"/>
      <c r="N23" s="65">
        <f>SUM(N21:N22)</f>
        <v>346594.51792000001</v>
      </c>
    </row>
    <row r="24" spans="1:16" ht="15.75">
      <c r="A24" s="2"/>
      <c r="B24" s="9"/>
      <c r="C24" s="2"/>
      <c r="D24" s="2"/>
      <c r="E24" s="2"/>
      <c r="F24" s="2"/>
      <c r="G24" s="2"/>
      <c r="H24" s="2"/>
      <c r="I24" s="2"/>
      <c r="J24" s="3"/>
      <c r="K24" s="3"/>
    </row>
    <row r="25" spans="1:16" ht="15.75">
      <c r="A25" s="2"/>
      <c r="B25" s="9"/>
      <c r="C25" s="2"/>
      <c r="D25" s="2"/>
      <c r="E25" s="2"/>
      <c r="F25" s="2"/>
      <c r="G25" s="2"/>
      <c r="H25" s="2"/>
      <c r="I25" s="2"/>
      <c r="J25" s="3"/>
      <c r="K25" s="3"/>
    </row>
    <row r="26" spans="1:16">
      <c r="B26" s="1684" t="s">
        <v>588</v>
      </c>
      <c r="C26" s="1684"/>
      <c r="D26" s="1684"/>
      <c r="E26" s="1684"/>
      <c r="F26" s="1684"/>
      <c r="G26" s="1684"/>
    </row>
    <row r="27" spans="1:16">
      <c r="B27" s="1684"/>
      <c r="C27" s="1684"/>
      <c r="D27" s="1684"/>
      <c r="E27" s="1684"/>
      <c r="F27" s="1684"/>
      <c r="G27" s="1684"/>
    </row>
    <row r="28" spans="1:16">
      <c r="B28" s="1684"/>
      <c r="C28" s="1684"/>
      <c r="D28" s="1684"/>
      <c r="E28" s="1684"/>
      <c r="F28" s="1684"/>
      <c r="G28" s="1684"/>
    </row>
    <row r="29" spans="1:16">
      <c r="B29" s="1684"/>
      <c r="C29" s="1684"/>
      <c r="D29" s="1684"/>
      <c r="E29" s="1684"/>
      <c r="F29" s="1684"/>
      <c r="G29" s="1684"/>
    </row>
  </sheetData>
  <mergeCells count="25">
    <mergeCell ref="S11:S13"/>
    <mergeCell ref="C19:C20"/>
    <mergeCell ref="N12:N13"/>
    <mergeCell ref="O12:O13"/>
    <mergeCell ref="P12:P13"/>
    <mergeCell ref="Q11:Q13"/>
    <mergeCell ref="R11:R13"/>
    <mergeCell ref="K19:M19"/>
    <mergeCell ref="F12:H12"/>
    <mergeCell ref="J12:L12"/>
    <mergeCell ref="C12:E12"/>
    <mergeCell ref="M12:M13"/>
    <mergeCell ref="C11:P11"/>
    <mergeCell ref="A11:A13"/>
    <mergeCell ref="B11:B13"/>
    <mergeCell ref="B26:G29"/>
    <mergeCell ref="O7:O8"/>
    <mergeCell ref="P7:P8"/>
    <mergeCell ref="Q7:Q8"/>
    <mergeCell ref="B19:B20"/>
    <mergeCell ref="D19:D20"/>
    <mergeCell ref="E19:E20"/>
    <mergeCell ref="F19:F20"/>
    <mergeCell ref="G19:I19"/>
    <mergeCell ref="J19:J20"/>
  </mergeCells>
  <pageMargins left="0.7" right="0.7" top="0.75" bottom="0.75" header="0.3" footer="0.3"/>
  <pageSetup paperSize="9" scale="19" orientation="portrait" verticalDpi="300" r:id="rId1"/>
  <colBreaks count="1" manualBreakCount="1">
    <brk id="30"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7"/>
  <sheetViews>
    <sheetView zoomScaleNormal="100" workbookViewId="0">
      <selection activeCell="A4" sqref="A4"/>
    </sheetView>
  </sheetViews>
  <sheetFormatPr defaultColWidth="9.125" defaultRowHeight="15"/>
  <cols>
    <col min="1" max="1" width="65.5" style="265" customWidth="1"/>
    <col min="2" max="2" width="38.75" style="265" customWidth="1"/>
    <col min="3" max="4" width="18.5" style="265" customWidth="1"/>
    <col min="5" max="5" width="21.5" style="265" customWidth="1"/>
    <col min="6" max="6" width="14.5" style="265" customWidth="1"/>
    <col min="7" max="7" width="19.5" style="265" customWidth="1"/>
    <col min="8" max="8" width="15.875" style="265" customWidth="1"/>
    <col min="9" max="9" width="14.5" style="265" customWidth="1"/>
    <col min="10" max="16384" width="9.125" style="265"/>
  </cols>
  <sheetData>
    <row r="1" spans="1:13">
      <c r="A1" s="657"/>
      <c r="B1" s="657"/>
      <c r="H1" s="166" t="s">
        <v>789</v>
      </c>
      <c r="M1" s="658"/>
    </row>
    <row r="3" spans="1:13" ht="15.75">
      <c r="B3" s="984" t="s">
        <v>788</v>
      </c>
    </row>
    <row r="5" spans="1:13" ht="90">
      <c r="A5" s="254" t="s">
        <v>159</v>
      </c>
      <c r="B5" s="254" t="s">
        <v>181</v>
      </c>
      <c r="C5" s="251" t="s">
        <v>1020</v>
      </c>
      <c r="D5" s="251" t="s">
        <v>1063</v>
      </c>
      <c r="E5" s="251" t="s">
        <v>1064</v>
      </c>
    </row>
    <row r="6" spans="1:13">
      <c r="A6" s="659" t="s">
        <v>465</v>
      </c>
      <c r="B6" s="624">
        <f>SUM(C9)</f>
        <v>8086606</v>
      </c>
      <c r="C6" s="252">
        <f>SUM(G17)</f>
        <v>3923560.4800000004</v>
      </c>
      <c r="D6" s="252">
        <f>SUM(C6)</f>
        <v>3923560.4800000004</v>
      </c>
      <c r="E6" s="252">
        <f>SUM(D6)</f>
        <v>3923560.4800000004</v>
      </c>
    </row>
    <row r="8" spans="1:13" ht="63">
      <c r="A8" s="80" t="s">
        <v>589</v>
      </c>
      <c r="B8" s="666" t="s">
        <v>590</v>
      </c>
      <c r="C8" s="81" t="s">
        <v>591</v>
      </c>
      <c r="D8" s="81" t="s">
        <v>592</v>
      </c>
      <c r="E8" s="81" t="s">
        <v>593</v>
      </c>
      <c r="F8" s="81" t="s">
        <v>594</v>
      </c>
      <c r="G8" s="81" t="s">
        <v>180</v>
      </c>
      <c r="H8" s="81" t="s">
        <v>595</v>
      </c>
      <c r="I8" s="666" t="s">
        <v>596</v>
      </c>
    </row>
    <row r="9" spans="1:13" ht="15.75">
      <c r="A9" s="248" t="s">
        <v>597</v>
      </c>
      <c r="B9" s="667">
        <v>6415</v>
      </c>
      <c r="C9" s="668">
        <v>8086606</v>
      </c>
      <c r="D9" s="668">
        <v>3369415</v>
      </c>
      <c r="E9" s="668">
        <v>3960168</v>
      </c>
      <c r="F9" s="668">
        <v>590753</v>
      </c>
      <c r="G9" s="662">
        <v>1.1753</v>
      </c>
      <c r="H9" s="695">
        <f>E9/5*12-C9</f>
        <v>1417797.1999999993</v>
      </c>
      <c r="I9" s="664">
        <v>3363</v>
      </c>
    </row>
    <row r="10" spans="1:13">
      <c r="C10" s="660"/>
      <c r="D10" s="660"/>
      <c r="E10" s="660"/>
      <c r="F10" s="660"/>
    </row>
    <row r="11" spans="1:13" ht="63">
      <c r="A11" s="81" t="s">
        <v>598</v>
      </c>
      <c r="B11" s="665" t="s">
        <v>589</v>
      </c>
      <c r="C11" s="666" t="s">
        <v>590</v>
      </c>
      <c r="D11" s="81" t="s">
        <v>599</v>
      </c>
      <c r="E11" s="693" t="s">
        <v>600</v>
      </c>
      <c r="F11" s="81" t="s">
        <v>601</v>
      </c>
      <c r="G11" s="81" t="s">
        <v>1065</v>
      </c>
    </row>
    <row r="12" spans="1:13" ht="15.75">
      <c r="A12" s="661" t="s">
        <v>602</v>
      </c>
      <c r="B12" s="663" t="s">
        <v>603</v>
      </c>
      <c r="C12" s="664">
        <v>1483</v>
      </c>
      <c r="D12" s="617">
        <v>2301487</v>
      </c>
      <c r="E12" s="617">
        <v>1239.28</v>
      </c>
      <c r="F12" s="664">
        <v>1002</v>
      </c>
      <c r="G12" s="696">
        <f>SUM(E12*F12)</f>
        <v>1241758.56</v>
      </c>
    </row>
    <row r="13" spans="1:13" ht="15.75">
      <c r="A13" s="661" t="s">
        <v>604</v>
      </c>
      <c r="B13" s="663" t="s">
        <v>603</v>
      </c>
      <c r="C13" s="664">
        <v>151</v>
      </c>
      <c r="D13" s="617">
        <v>106977</v>
      </c>
      <c r="E13" s="617">
        <v>1239.28</v>
      </c>
      <c r="F13" s="664">
        <v>250</v>
      </c>
      <c r="G13" s="696">
        <f t="shared" ref="G13:G16" si="0">SUM(E13*F13)</f>
        <v>309820</v>
      </c>
    </row>
    <row r="14" spans="1:13" ht="15.75">
      <c r="A14" s="661" t="s">
        <v>605</v>
      </c>
      <c r="B14" s="663" t="s">
        <v>603</v>
      </c>
      <c r="C14" s="664">
        <v>2921</v>
      </c>
      <c r="D14" s="617">
        <v>2865569</v>
      </c>
      <c r="E14" s="617">
        <v>1239.28</v>
      </c>
      <c r="F14" s="664">
        <v>1360</v>
      </c>
      <c r="G14" s="696">
        <f t="shared" si="0"/>
        <v>1685420.8</v>
      </c>
    </row>
    <row r="15" spans="1:13" s="679" customFormat="1" ht="15.75">
      <c r="A15" s="676" t="s">
        <v>606</v>
      </c>
      <c r="B15" s="680" t="s">
        <v>603</v>
      </c>
      <c r="C15" s="678">
        <v>510</v>
      </c>
      <c r="D15" s="677">
        <v>349032</v>
      </c>
      <c r="E15" s="677">
        <v>1239.28</v>
      </c>
      <c r="F15" s="678">
        <v>132</v>
      </c>
      <c r="G15" s="697">
        <f t="shared" si="0"/>
        <v>163584.95999999999</v>
      </c>
    </row>
    <row r="16" spans="1:13" ht="15.75">
      <c r="A16" s="661" t="s">
        <v>607</v>
      </c>
      <c r="B16" s="663" t="s">
        <v>603</v>
      </c>
      <c r="C16" s="664">
        <v>1350</v>
      </c>
      <c r="D16" s="617">
        <v>2463541</v>
      </c>
      <c r="E16" s="617">
        <v>1239.28</v>
      </c>
      <c r="F16" s="664">
        <v>422</v>
      </c>
      <c r="G16" s="696">
        <f t="shared" si="0"/>
        <v>522976.16</v>
      </c>
    </row>
    <row r="17" spans="3:7" ht="15.75">
      <c r="C17" s="675"/>
      <c r="D17" s="675"/>
      <c r="E17" s="675"/>
      <c r="F17" s="1060">
        <f>SUM(F12:F16)</f>
        <v>3166</v>
      </c>
      <c r="G17" s="1061">
        <f>SUM(G12:G16)</f>
        <v>3923560.4800000004</v>
      </c>
    </row>
  </sheetData>
  <pageMargins left="0.7" right="0.7" top="0.75" bottom="0.75" header="0.3" footer="0.3"/>
  <pageSetup paperSize="9" scale="39" orientation="portrait" verticalDpi="0" r:id="rId1"/>
  <colBreaks count="1" manualBreakCount="1">
    <brk id="9"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AQ42"/>
  <sheetViews>
    <sheetView view="pageBreakPreview" zoomScaleNormal="80" zoomScaleSheetLayoutView="100" workbookViewId="0">
      <selection activeCell="A4" sqref="A4"/>
    </sheetView>
  </sheetViews>
  <sheetFormatPr defaultColWidth="9.125" defaultRowHeight="15"/>
  <cols>
    <col min="1" max="2" width="40.875" style="51" customWidth="1"/>
    <col min="3" max="3" width="15" style="51" customWidth="1"/>
    <col min="4" max="4" width="21.875" style="51" customWidth="1"/>
    <col min="5" max="6" width="15.5" style="51" bestFit="1" customWidth="1"/>
    <col min="7" max="7" width="12.25" style="51" customWidth="1"/>
    <col min="8" max="8" width="13.75" style="51" customWidth="1"/>
    <col min="9" max="9" width="12.75" style="51" customWidth="1"/>
    <col min="10" max="11" width="12" style="51" customWidth="1"/>
    <col min="12" max="12" width="11.875" style="51" customWidth="1"/>
    <col min="13" max="13" width="14.5" style="51" customWidth="1"/>
    <col min="14" max="14" width="13.25" style="51" customWidth="1"/>
    <col min="15" max="15" width="16.5" style="51" customWidth="1"/>
    <col min="16" max="24" width="11.5" style="51" customWidth="1"/>
    <col min="25" max="25" width="11.125" style="51" customWidth="1"/>
    <col min="26" max="26" width="11" style="51" customWidth="1"/>
    <col min="27" max="27" width="12.5" style="51" customWidth="1"/>
    <col min="28" max="28" width="11.5" style="51" customWidth="1"/>
    <col min="29" max="33" width="8.875" style="51"/>
    <col min="34" max="34" width="11.5" style="51" bestFit="1" customWidth="1"/>
    <col min="35" max="39" width="8.875" style="51"/>
    <col min="40" max="40" width="12.5" style="51" customWidth="1"/>
    <col min="41" max="16384" width="9.125" style="51"/>
  </cols>
  <sheetData>
    <row r="1" spans="1:43">
      <c r="A1" s="52"/>
      <c r="B1" s="52"/>
      <c r="C1" s="52"/>
      <c r="G1" s="166" t="s">
        <v>792</v>
      </c>
      <c r="Z1" s="53"/>
    </row>
    <row r="3" spans="1:43" ht="15.75">
      <c r="B3" s="926" t="s">
        <v>791</v>
      </c>
    </row>
    <row r="5" spans="1:43" ht="106.5" customHeight="1">
      <c r="A5" s="682" t="s">
        <v>159</v>
      </c>
      <c r="B5" s="580" t="s">
        <v>181</v>
      </c>
      <c r="C5" s="251" t="s">
        <v>1020</v>
      </c>
      <c r="D5" s="251" t="s">
        <v>1066</v>
      </c>
      <c r="E5" s="255"/>
      <c r="F5" s="255"/>
    </row>
    <row r="6" spans="1:43" ht="30">
      <c r="A6" s="681" t="s">
        <v>70</v>
      </c>
      <c r="B6" s="858">
        <f>H12+H13+H14+H15</f>
        <v>18885327</v>
      </c>
      <c r="C6" s="857">
        <f>SUM(O20+O21+O22+O23)</f>
        <v>3948743.9099999997</v>
      </c>
      <c r="D6" s="857">
        <f>SUM(C6)</f>
        <v>3948743.9099999997</v>
      </c>
      <c r="E6" s="255"/>
      <c r="F6" s="255"/>
    </row>
    <row r="7" spans="1:43" ht="30">
      <c r="A7" s="856" t="s">
        <v>608</v>
      </c>
      <c r="B7" s="859">
        <f>G12+G13+G14+G15</f>
        <v>1052259</v>
      </c>
      <c r="C7" s="855"/>
      <c r="D7" s="855"/>
      <c r="E7" s="255"/>
      <c r="F7" s="255"/>
    </row>
    <row r="10" spans="1:43" ht="15" customHeight="1">
      <c r="A10" s="1696" t="s">
        <v>609</v>
      </c>
      <c r="B10" s="1698" t="s">
        <v>610</v>
      </c>
      <c r="C10" s="1705" t="s">
        <v>611</v>
      </c>
      <c r="D10" s="1706"/>
      <c r="E10" s="1706"/>
      <c r="F10" s="1706"/>
      <c r="G10" s="1706"/>
      <c r="H10" s="1707"/>
      <c r="J10" s="795"/>
      <c r="K10"/>
    </row>
    <row r="11" spans="1:43" ht="30">
      <c r="A11" s="1697"/>
      <c r="B11" s="1699"/>
      <c r="C11" s="836" t="s">
        <v>612</v>
      </c>
      <c r="D11" s="837" t="s">
        <v>322</v>
      </c>
      <c r="E11" s="837" t="s">
        <v>323</v>
      </c>
      <c r="F11" s="837" t="s">
        <v>613</v>
      </c>
      <c r="G11" s="837" t="s">
        <v>614</v>
      </c>
      <c r="H11" s="838" t="s">
        <v>615</v>
      </c>
      <c r="I11" s="796"/>
      <c r="J11"/>
    </row>
    <row r="12" spans="1:43" ht="152.25" customHeight="1">
      <c r="A12" s="851" t="s">
        <v>584</v>
      </c>
      <c r="B12" s="834" t="s">
        <v>616</v>
      </c>
      <c r="C12" s="853">
        <v>5583</v>
      </c>
      <c r="D12" s="835">
        <v>246</v>
      </c>
      <c r="E12" s="835">
        <v>5537</v>
      </c>
      <c r="F12" s="835">
        <f>G12+H12</f>
        <v>16281296</v>
      </c>
      <c r="G12" s="835">
        <v>324635</v>
      </c>
      <c r="H12" s="835">
        <v>15956661</v>
      </c>
      <c r="I12" s="797"/>
      <c r="J12"/>
    </row>
    <row r="13" spans="1:43" ht="105">
      <c r="A13" s="852" t="s">
        <v>583</v>
      </c>
      <c r="B13" s="854" t="s">
        <v>617</v>
      </c>
      <c r="C13" s="853">
        <f>D13+E13</f>
        <v>470</v>
      </c>
      <c r="D13" s="835">
        <v>328</v>
      </c>
      <c r="E13" s="835">
        <v>142</v>
      </c>
      <c r="F13" s="835">
        <f t="shared" ref="F13:F15" si="0">G13+H13</f>
        <v>985530</v>
      </c>
      <c r="G13" s="835">
        <v>486218</v>
      </c>
      <c r="H13" s="835">
        <v>499312</v>
      </c>
      <c r="I13" s="797"/>
      <c r="J13"/>
    </row>
    <row r="14" spans="1:43" ht="105">
      <c r="A14" s="852" t="s">
        <v>618</v>
      </c>
      <c r="B14" s="854" t="s">
        <v>617</v>
      </c>
      <c r="C14" s="853">
        <f t="shared" ref="C14:C15" si="1">D14+E14</f>
        <v>735</v>
      </c>
      <c r="D14" s="835">
        <v>42</v>
      </c>
      <c r="E14" s="835">
        <v>693</v>
      </c>
      <c r="F14" s="835">
        <f t="shared" si="0"/>
        <v>1794320</v>
      </c>
      <c r="G14" s="835">
        <v>44235</v>
      </c>
      <c r="H14" s="835">
        <v>1750085</v>
      </c>
      <c r="I14" s="797"/>
      <c r="J14"/>
    </row>
    <row r="15" spans="1:43" ht="105">
      <c r="A15" s="852" t="s">
        <v>619</v>
      </c>
      <c r="B15" s="854" t="s">
        <v>617</v>
      </c>
      <c r="C15" s="853">
        <f t="shared" si="1"/>
        <v>362</v>
      </c>
      <c r="D15" s="835">
        <v>175</v>
      </c>
      <c r="E15" s="835">
        <v>187</v>
      </c>
      <c r="F15" s="835">
        <f t="shared" si="0"/>
        <v>876440</v>
      </c>
      <c r="G15" s="835">
        <v>197171</v>
      </c>
      <c r="H15" s="835">
        <v>679269</v>
      </c>
      <c r="I15" s="797"/>
      <c r="J15"/>
    </row>
    <row r="16" spans="1:43">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row>
    <row r="17" spans="1:43">
      <c r="A17" s="17"/>
      <c r="B17" s="17"/>
      <c r="C17" s="17"/>
      <c r="D17" s="255"/>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row>
    <row r="18" spans="1:43" s="294" customFormat="1" ht="95.25" customHeight="1">
      <c r="A18" s="1703"/>
      <c r="B18" s="1702" t="s">
        <v>620</v>
      </c>
      <c r="C18" s="1700" t="s">
        <v>621</v>
      </c>
      <c r="D18" s="1700"/>
      <c r="E18" s="1700"/>
      <c r="F18" s="1701" t="s">
        <v>622</v>
      </c>
      <c r="G18" s="1701"/>
      <c r="H18" s="1701"/>
      <c r="I18" s="1701" t="s">
        <v>623</v>
      </c>
      <c r="J18" s="1701"/>
      <c r="K18" s="1701"/>
      <c r="L18" s="1695" t="s">
        <v>624</v>
      </c>
      <c r="M18" s="1695"/>
      <c r="N18" s="1695"/>
    </row>
    <row r="19" spans="1:43" s="294" customFormat="1" ht="51">
      <c r="A19" s="1704"/>
      <c r="B19" s="1702"/>
      <c r="C19" s="619" t="s">
        <v>625</v>
      </c>
      <c r="D19" s="618" t="s">
        <v>626</v>
      </c>
      <c r="E19" s="618" t="s">
        <v>627</v>
      </c>
      <c r="F19" s="625" t="s">
        <v>625</v>
      </c>
      <c r="G19" s="618" t="s">
        <v>626</v>
      </c>
      <c r="H19" s="618" t="s">
        <v>627</v>
      </c>
      <c r="I19" s="886" t="s">
        <v>625</v>
      </c>
      <c r="J19" s="618" t="s">
        <v>626</v>
      </c>
      <c r="K19" s="618" t="s">
        <v>627</v>
      </c>
      <c r="L19" s="886" t="s">
        <v>625</v>
      </c>
      <c r="M19" s="618" t="s">
        <v>626</v>
      </c>
      <c r="N19" s="618" t="s">
        <v>627</v>
      </c>
      <c r="O19" s="885" t="s">
        <v>1067</v>
      </c>
      <c r="P19" s="879" t="s">
        <v>444</v>
      </c>
      <c r="Q19" s="879" t="s">
        <v>628</v>
      </c>
      <c r="R19" s="873"/>
      <c r="S19" s="873"/>
      <c r="T19" s="873"/>
      <c r="U19" s="873"/>
      <c r="V19" s="873"/>
      <c r="W19" s="873"/>
      <c r="X19" s="873"/>
    </row>
    <row r="20" spans="1:43" s="294" customFormat="1" ht="12.75">
      <c r="A20" s="871" t="s">
        <v>584</v>
      </c>
      <c r="B20" s="870">
        <v>5583</v>
      </c>
      <c r="C20" s="627">
        <v>790</v>
      </c>
      <c r="D20" s="623">
        <v>2067.39</v>
      </c>
      <c r="E20" s="623">
        <f>D20*C20</f>
        <v>1633238.0999999999</v>
      </c>
      <c r="F20" s="628">
        <v>300</v>
      </c>
      <c r="G20" s="623">
        <v>2067.39</v>
      </c>
      <c r="H20" s="623">
        <f>G20*F20</f>
        <v>620217</v>
      </c>
      <c r="I20" s="628">
        <v>300</v>
      </c>
      <c r="J20" s="623">
        <v>2067.39</v>
      </c>
      <c r="K20" s="623">
        <f>I20*J20</f>
        <v>620217</v>
      </c>
      <c r="L20" s="629">
        <v>300</v>
      </c>
      <c r="M20" s="623">
        <v>2067.39</v>
      </c>
      <c r="N20" s="626">
        <f>M20*L20</f>
        <v>620217</v>
      </c>
      <c r="O20" s="876">
        <f>N20+K20+H20+E20</f>
        <v>3493889.0999999996</v>
      </c>
      <c r="P20" s="717">
        <f>C20+F20+I20+L20</f>
        <v>1690</v>
      </c>
      <c r="Q20" s="878">
        <f>P20/B20</f>
        <v>0.30270463908293033</v>
      </c>
      <c r="R20" s="874"/>
      <c r="S20" s="874"/>
      <c r="T20" s="874"/>
      <c r="U20" s="874"/>
      <c r="V20" s="874"/>
      <c r="W20" s="874"/>
      <c r="X20" s="874"/>
      <c r="Y20" s="166"/>
      <c r="Z20" s="166"/>
      <c r="AA20" s="166"/>
      <c r="AB20" s="166"/>
      <c r="AC20" s="166"/>
      <c r="AD20" s="166"/>
      <c r="AE20" s="166"/>
      <c r="AF20" s="166"/>
      <c r="AG20" s="166"/>
      <c r="AH20" s="166"/>
      <c r="AI20" s="166"/>
    </row>
    <row r="21" spans="1:43" s="898" customFormat="1" ht="108.75" customHeight="1">
      <c r="A21" s="891" t="s">
        <v>583</v>
      </c>
      <c r="B21" s="870">
        <v>470</v>
      </c>
      <c r="C21" s="882">
        <v>112</v>
      </c>
      <c r="D21" s="630">
        <v>1535.12</v>
      </c>
      <c r="E21" s="630">
        <f t="shared" ref="E21:E23" si="2">D21*C21</f>
        <v>171933.44</v>
      </c>
      <c r="F21" s="883">
        <v>29</v>
      </c>
      <c r="G21" s="630">
        <v>1535.12</v>
      </c>
      <c r="H21" s="630">
        <f t="shared" ref="H21:H23" si="3">G21*F21</f>
        <v>44518.479999999996</v>
      </c>
      <c r="I21" s="883">
        <v>0</v>
      </c>
      <c r="J21" s="630">
        <v>1535.12</v>
      </c>
      <c r="K21" s="630">
        <f t="shared" ref="K21:K23" si="4">I21*J21</f>
        <v>0</v>
      </c>
      <c r="L21" s="884">
        <v>0</v>
      </c>
      <c r="M21" s="630">
        <v>1535.12</v>
      </c>
      <c r="N21" s="631">
        <f t="shared" ref="N21:N23" si="5">M21*L21</f>
        <v>0</v>
      </c>
      <c r="O21" s="892">
        <f>N21+K21+H21+E21</f>
        <v>216451.91999999998</v>
      </c>
      <c r="P21" s="893">
        <f>C21+F21+I21+L21</f>
        <v>141</v>
      </c>
      <c r="Q21" s="894">
        <f>P21/B21</f>
        <v>0.3</v>
      </c>
      <c r="R21" s="895"/>
      <c r="S21" s="895"/>
      <c r="T21" s="895"/>
      <c r="U21" s="895"/>
      <c r="V21" s="895"/>
      <c r="W21" s="895"/>
      <c r="X21" s="895"/>
      <c r="Y21" s="896"/>
      <c r="Z21" s="897"/>
      <c r="AA21" s="897"/>
      <c r="AB21" s="897"/>
      <c r="AC21" s="897"/>
      <c r="AD21" s="897"/>
      <c r="AE21" s="897"/>
      <c r="AF21" s="897"/>
      <c r="AG21" s="897"/>
      <c r="AH21" s="655"/>
      <c r="AI21" s="655"/>
    </row>
    <row r="22" spans="1:43" s="294" customFormat="1" ht="21.75" customHeight="1">
      <c r="A22" s="871" t="s">
        <v>618</v>
      </c>
      <c r="B22" s="870">
        <v>735</v>
      </c>
      <c r="C22" s="627">
        <v>120</v>
      </c>
      <c r="D22" s="632">
        <v>1196.71</v>
      </c>
      <c r="E22" s="633">
        <f>D22*C22</f>
        <v>143605.20000000001</v>
      </c>
      <c r="F22" s="628">
        <v>15</v>
      </c>
      <c r="G22" s="632">
        <v>1196.71</v>
      </c>
      <c r="H22" s="633">
        <f t="shared" si="3"/>
        <v>17950.650000000001</v>
      </c>
      <c r="I22" s="628">
        <v>15</v>
      </c>
      <c r="J22" s="632">
        <v>1196.71</v>
      </c>
      <c r="K22" s="633">
        <f t="shared" si="4"/>
        <v>17950.650000000001</v>
      </c>
      <c r="L22" s="629">
        <v>15</v>
      </c>
      <c r="M22" s="632">
        <v>1196.71</v>
      </c>
      <c r="N22" s="634">
        <f t="shared" si="5"/>
        <v>17950.650000000001</v>
      </c>
      <c r="O22" s="877">
        <f>N22+K22+H22+E22</f>
        <v>197457.15000000002</v>
      </c>
      <c r="P22" s="880">
        <f>C22+F22+I22+L22</f>
        <v>165</v>
      </c>
      <c r="Q22" s="881">
        <f>P22/B22</f>
        <v>0.22448979591836735</v>
      </c>
      <c r="R22" s="875"/>
      <c r="S22" s="875"/>
      <c r="T22" s="875"/>
      <c r="U22" s="875"/>
      <c r="V22" s="875"/>
      <c r="W22" s="875"/>
      <c r="X22" s="875"/>
    </row>
    <row r="23" spans="1:43" s="294" customFormat="1" ht="20.25" customHeight="1">
      <c r="A23" s="871" t="s">
        <v>619</v>
      </c>
      <c r="B23" s="870">
        <v>362</v>
      </c>
      <c r="C23" s="882">
        <v>5</v>
      </c>
      <c r="D23" s="632">
        <v>1240.78</v>
      </c>
      <c r="E23" s="633">
        <f t="shared" si="2"/>
        <v>6203.9</v>
      </c>
      <c r="F23" s="883">
        <v>23</v>
      </c>
      <c r="G23" s="632">
        <v>1240.78</v>
      </c>
      <c r="H23" s="633">
        <f t="shared" si="3"/>
        <v>28537.94</v>
      </c>
      <c r="I23" s="883">
        <v>3</v>
      </c>
      <c r="J23" s="632">
        <v>1240.78</v>
      </c>
      <c r="K23" s="633">
        <f t="shared" si="4"/>
        <v>3722.34</v>
      </c>
      <c r="L23" s="884">
        <v>2</v>
      </c>
      <c r="M23" s="632">
        <v>1240.78</v>
      </c>
      <c r="N23" s="634">
        <f t="shared" si="5"/>
        <v>2481.56</v>
      </c>
      <c r="O23" s="877">
        <f>N23+K23+H23+E23</f>
        <v>40945.74</v>
      </c>
      <c r="P23" s="880">
        <f>C23+F23+I23+L23</f>
        <v>33</v>
      </c>
      <c r="Q23" s="881">
        <f>P23/B23</f>
        <v>9.1160220994475141E-2</v>
      </c>
      <c r="R23" s="875"/>
      <c r="S23" s="875"/>
      <c r="T23" s="875"/>
      <c r="U23" s="875"/>
      <c r="V23" s="875"/>
      <c r="W23" s="875"/>
      <c r="X23" s="875"/>
      <c r="Y23" s="294">
        <f>C23+F23+I23+L23</f>
        <v>33</v>
      </c>
    </row>
    <row r="24" spans="1:43" s="726" customFormat="1" ht="20.25" customHeight="1">
      <c r="A24" s="726" t="s">
        <v>629</v>
      </c>
      <c r="H24" s="887"/>
      <c r="AB24" s="888"/>
    </row>
    <row r="25" spans="1:43" s="726" customFormat="1" ht="15.75" customHeight="1">
      <c r="A25" s="890" t="s">
        <v>630</v>
      </c>
      <c r="B25" s="889"/>
      <c r="C25" s="889"/>
      <c r="E25" s="889"/>
      <c r="F25" s="889"/>
      <c r="G25" s="889"/>
      <c r="H25" s="889"/>
      <c r="I25" s="889"/>
      <c r="L25" s="889"/>
    </row>
    <row r="26" spans="1:43" s="726" customFormat="1" ht="15.75" customHeight="1">
      <c r="A26" s="889"/>
      <c r="B26" s="889"/>
      <c r="C26" s="889"/>
      <c r="D26" s="889"/>
      <c r="E26" s="889"/>
      <c r="F26" s="889"/>
      <c r="G26" s="889"/>
      <c r="H26" s="889"/>
      <c r="I26" s="889"/>
    </row>
    <row r="27" spans="1:43" ht="15.75">
      <c r="A27" s="872"/>
      <c r="B27" s="872"/>
      <c r="C27" s="872"/>
      <c r="D27" s="872"/>
      <c r="E27" s="872"/>
      <c r="F27" s="872"/>
      <c r="G27" s="872"/>
      <c r="H27" s="872"/>
      <c r="I27" s="872"/>
      <c r="M27" s="266"/>
    </row>
    <row r="28" spans="1:43" ht="15.75">
      <c r="A28" s="872"/>
      <c r="B28" s="872"/>
      <c r="C28" s="872"/>
      <c r="D28" s="872"/>
      <c r="E28" s="872"/>
      <c r="F28" s="872"/>
      <c r="G28" s="872"/>
      <c r="H28" s="872"/>
      <c r="I28" s="872"/>
      <c r="M28" s="266"/>
    </row>
    <row r="29" spans="1:43" ht="64.5" customHeight="1">
      <c r="A29" s="872"/>
      <c r="B29" s="872"/>
      <c r="C29" s="872"/>
      <c r="D29" s="872"/>
      <c r="E29" s="872"/>
      <c r="F29" s="872"/>
      <c r="G29" s="872"/>
      <c r="H29" s="872"/>
      <c r="I29" s="872"/>
      <c r="M29" s="266"/>
    </row>
    <row r="30" spans="1:43" ht="15.75">
      <c r="A30" s="872"/>
      <c r="B30" s="872"/>
      <c r="C30" s="872"/>
      <c r="D30" s="872"/>
      <c r="E30" s="872"/>
      <c r="F30" s="872"/>
      <c r="G30" s="872"/>
      <c r="H30" s="872"/>
      <c r="I30" s="872"/>
      <c r="M30" s="266"/>
    </row>
    <row r="37" spans="1:27">
      <c r="A37" s="255"/>
      <c r="B37" s="255"/>
      <c r="C37" s="255"/>
      <c r="D37" s="255"/>
      <c r="E37" s="255"/>
      <c r="F37" s="255"/>
      <c r="G37" s="255"/>
      <c r="H37" s="255"/>
      <c r="I37" s="255"/>
      <c r="J37" s="255"/>
      <c r="K37" s="255"/>
      <c r="L37" s="255"/>
      <c r="M37" s="255"/>
      <c r="N37" s="255"/>
      <c r="O37" s="255"/>
      <c r="P37" s="255"/>
      <c r="Q37" s="255"/>
      <c r="R37" s="255"/>
      <c r="S37" s="255"/>
      <c r="T37" s="255"/>
      <c r="U37" s="255"/>
      <c r="V37" s="255"/>
      <c r="W37" s="255"/>
      <c r="X37" s="255"/>
      <c r="Y37" s="255"/>
      <c r="Z37" s="255"/>
      <c r="AA37" s="255"/>
    </row>
    <row r="38" spans="1:27">
      <c r="A38" s="255"/>
      <c r="B38" s="255"/>
      <c r="C38" s="255"/>
      <c r="D38" s="255"/>
      <c r="E38" s="255"/>
      <c r="F38" s="255"/>
      <c r="G38" s="255"/>
      <c r="H38" s="255"/>
      <c r="I38" s="255"/>
      <c r="J38" s="255"/>
      <c r="K38" s="255"/>
      <c r="L38" s="255"/>
      <c r="M38" s="255"/>
      <c r="N38" s="255"/>
      <c r="O38" s="255"/>
      <c r="P38" s="255"/>
      <c r="Q38" s="255"/>
      <c r="R38" s="255"/>
      <c r="S38" s="255"/>
      <c r="T38" s="255"/>
      <c r="U38" s="255"/>
      <c r="V38" s="255"/>
      <c r="W38" s="255"/>
      <c r="X38" s="255"/>
      <c r="Y38" s="255"/>
      <c r="Z38" s="255"/>
      <c r="AA38" s="255"/>
    </row>
    <row r="39" spans="1:27">
      <c r="A39" s="255"/>
      <c r="B39" s="255"/>
      <c r="C39" s="255"/>
      <c r="D39" s="255"/>
      <c r="E39" s="255"/>
      <c r="F39" s="255"/>
      <c r="G39" s="255"/>
      <c r="H39" s="255"/>
      <c r="I39" s="255"/>
      <c r="J39" s="255"/>
      <c r="K39" s="255"/>
      <c r="L39" s="255"/>
      <c r="M39" s="255"/>
      <c r="N39" s="255"/>
      <c r="O39" s="255"/>
      <c r="P39" s="255"/>
      <c r="Q39" s="255"/>
      <c r="R39" s="255"/>
      <c r="S39" s="255"/>
      <c r="T39" s="255"/>
      <c r="U39" s="255"/>
      <c r="V39" s="255"/>
      <c r="W39" s="255"/>
      <c r="X39" s="255"/>
      <c r="Y39" s="255"/>
      <c r="Z39" s="255"/>
      <c r="AA39" s="255"/>
    </row>
    <row r="40" spans="1:27">
      <c r="A40" s="255"/>
      <c r="B40" s="255"/>
      <c r="C40" s="255"/>
      <c r="D40" s="255"/>
      <c r="E40" s="255"/>
      <c r="F40" s="255"/>
      <c r="G40" s="255"/>
      <c r="H40" s="255"/>
      <c r="I40" s="255"/>
      <c r="J40" s="255"/>
      <c r="K40" s="255"/>
      <c r="L40" s="255"/>
      <c r="M40" s="255"/>
      <c r="N40" s="255"/>
      <c r="O40" s="255"/>
      <c r="P40" s="255"/>
      <c r="Q40" s="255"/>
      <c r="R40" s="255"/>
      <c r="S40" s="255"/>
      <c r="T40" s="255"/>
      <c r="U40" s="255"/>
      <c r="V40" s="255"/>
      <c r="W40" s="255"/>
      <c r="X40" s="255"/>
      <c r="Y40" s="255"/>
      <c r="Z40" s="255"/>
      <c r="AA40" s="255"/>
    </row>
    <row r="41" spans="1:27">
      <c r="A41" s="255"/>
      <c r="B41" s="255"/>
      <c r="C41" s="255"/>
      <c r="D41" s="255"/>
      <c r="E41" s="255"/>
      <c r="F41" s="255"/>
      <c r="G41" s="255"/>
      <c r="H41" s="255"/>
      <c r="I41" s="255"/>
      <c r="J41" s="255"/>
      <c r="K41" s="255"/>
      <c r="L41" s="255"/>
      <c r="M41" s="255"/>
      <c r="N41" s="255"/>
      <c r="O41" s="255"/>
      <c r="P41" s="255"/>
      <c r="Q41" s="255"/>
      <c r="R41" s="255"/>
      <c r="S41" s="255"/>
      <c r="T41" s="255"/>
      <c r="U41" s="255"/>
      <c r="V41" s="255"/>
      <c r="W41" s="255"/>
      <c r="X41" s="255"/>
      <c r="Y41" s="255"/>
      <c r="Z41" s="255"/>
      <c r="AA41" s="255"/>
    </row>
    <row r="42" spans="1:27">
      <c r="A42" s="255"/>
      <c r="B42" s="255"/>
      <c r="C42" s="255"/>
      <c r="D42" s="255"/>
      <c r="E42" s="255"/>
      <c r="F42" s="255"/>
      <c r="G42" s="255"/>
      <c r="H42" s="255"/>
      <c r="I42" s="255"/>
      <c r="J42" s="255"/>
      <c r="K42" s="255"/>
      <c r="L42" s="255"/>
      <c r="M42" s="255"/>
      <c r="N42" s="255"/>
      <c r="O42" s="255"/>
      <c r="P42" s="255"/>
      <c r="Q42" s="255"/>
      <c r="R42" s="255"/>
      <c r="S42" s="255"/>
      <c r="T42" s="255"/>
      <c r="U42" s="255"/>
      <c r="V42" s="255"/>
      <c r="W42" s="255"/>
      <c r="X42" s="255"/>
      <c r="Y42" s="255"/>
      <c r="Z42" s="255"/>
      <c r="AA42" s="255"/>
    </row>
  </sheetData>
  <mergeCells count="9">
    <mergeCell ref="L18:N18"/>
    <mergeCell ref="A10:A11"/>
    <mergeCell ref="B10:B11"/>
    <mergeCell ref="C18:E18"/>
    <mergeCell ref="F18:H18"/>
    <mergeCell ref="I18:K18"/>
    <mergeCell ref="B18:B19"/>
    <mergeCell ref="A18:A19"/>
    <mergeCell ref="C10:H10"/>
  </mergeCells>
  <pageMargins left="0.7" right="0.7" top="0.75" bottom="0.75" header="0.3" footer="0.3"/>
  <pageSetup paperSize="9" scale="29" orientation="portrait" verticalDpi="300" r:id="rId1"/>
  <colBreaks count="1" manualBreakCount="1">
    <brk id="17"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T31"/>
  <sheetViews>
    <sheetView zoomScaleNormal="100" workbookViewId="0">
      <selection activeCell="A4" sqref="A4"/>
    </sheetView>
  </sheetViews>
  <sheetFormatPr defaultRowHeight="14.25"/>
  <cols>
    <col min="1" max="2" width="24.5" customWidth="1"/>
    <col min="3" max="3" width="22.75" customWidth="1"/>
    <col min="4" max="5" width="15.5" customWidth="1"/>
    <col min="6" max="7" width="16.5" customWidth="1"/>
    <col min="8" max="8" width="11.5" customWidth="1"/>
    <col min="9" max="9" width="12.5" customWidth="1"/>
    <col min="10" max="10" width="17.125" customWidth="1"/>
    <col min="11" max="11" width="15" customWidth="1"/>
    <col min="12" max="12" width="14.875" customWidth="1"/>
    <col min="13" max="13" width="13.5" customWidth="1"/>
    <col min="14" max="14" width="18.25" customWidth="1"/>
    <col min="15" max="15" width="18.5" customWidth="1"/>
    <col min="16" max="16" width="16.5" customWidth="1"/>
    <col min="17" max="17" width="17.5" customWidth="1"/>
    <col min="18" max="18" width="11.125" customWidth="1"/>
    <col min="19" max="19" width="11" customWidth="1"/>
    <col min="20" max="20" width="14" customWidth="1"/>
    <col min="21" max="21" width="13.25" customWidth="1"/>
    <col min="22" max="22" width="13" customWidth="1"/>
    <col min="23" max="23" width="14.5" customWidth="1"/>
  </cols>
  <sheetData>
    <row r="1" spans="1:19">
      <c r="Q1" s="166" t="s">
        <v>793</v>
      </c>
    </row>
    <row r="3" spans="1:19" ht="15.75">
      <c r="B3" s="927" t="s">
        <v>797</v>
      </c>
      <c r="C3" s="986"/>
      <c r="D3" s="986"/>
      <c r="E3" s="1"/>
      <c r="F3" s="1"/>
      <c r="L3" s="1"/>
      <c r="N3" s="1"/>
    </row>
    <row r="4" spans="1:19">
      <c r="A4" s="1"/>
      <c r="B4" s="1"/>
      <c r="C4" s="1"/>
      <c r="D4" s="1"/>
      <c r="E4" s="1"/>
      <c r="F4" s="1"/>
      <c r="L4" s="1"/>
      <c r="N4" s="1"/>
    </row>
    <row r="5" spans="1:19" ht="120">
      <c r="A5" s="145" t="s">
        <v>159</v>
      </c>
      <c r="B5" s="145" t="s">
        <v>181</v>
      </c>
      <c r="C5" s="5" t="s">
        <v>1020</v>
      </c>
      <c r="D5" s="5" t="s">
        <v>1068</v>
      </c>
      <c r="E5" s="1"/>
      <c r="F5" s="1"/>
      <c r="L5" s="1"/>
      <c r="N5" s="1"/>
    </row>
    <row r="6" spans="1:19" ht="68.25" customHeight="1">
      <c r="A6" s="985" t="s">
        <v>70</v>
      </c>
      <c r="B6" s="683">
        <f>F26*C26</f>
        <v>3537830.4</v>
      </c>
      <c r="C6" s="21">
        <f>P28</f>
        <v>1672783.7999999998</v>
      </c>
      <c r="D6" s="21">
        <f>Q28</f>
        <v>3764561.5999999996</v>
      </c>
      <c r="E6" s="1"/>
      <c r="F6" s="1"/>
      <c r="L6" s="1"/>
      <c r="N6" s="1"/>
    </row>
    <row r="7" spans="1:19">
      <c r="A7" s="1"/>
      <c r="B7" s="1"/>
      <c r="C7" s="1"/>
      <c r="D7" s="1"/>
      <c r="E7" s="1"/>
      <c r="F7" s="1"/>
      <c r="G7" s="1"/>
      <c r="H7" s="1"/>
      <c r="I7" s="1"/>
      <c r="J7" s="1"/>
      <c r="K7" s="1"/>
      <c r="L7" s="1"/>
      <c r="M7" s="1"/>
      <c r="N7" s="1"/>
    </row>
    <row r="8" spans="1:19">
      <c r="A8" s="1"/>
      <c r="B8" s="1"/>
      <c r="C8" s="1"/>
      <c r="D8" s="1"/>
      <c r="E8" s="1"/>
      <c r="F8" s="1"/>
      <c r="G8" s="1"/>
      <c r="H8" s="1"/>
      <c r="I8" s="1"/>
      <c r="J8" s="1"/>
      <c r="K8" s="1"/>
      <c r="L8" s="1"/>
      <c r="M8" s="1"/>
      <c r="N8" s="1"/>
    </row>
    <row r="10" spans="1:19" ht="15" customHeight="1">
      <c r="A10" s="22" t="s">
        <v>31</v>
      </c>
      <c r="B10" s="127" t="s">
        <v>251</v>
      </c>
      <c r="C10" s="128" t="s">
        <v>252</v>
      </c>
      <c r="D10" s="128" t="s">
        <v>253</v>
      </c>
      <c r="E10" s="128" t="s">
        <v>254</v>
      </c>
      <c r="F10" t="s">
        <v>31</v>
      </c>
      <c r="G10" t="s">
        <v>31</v>
      </c>
      <c r="H10" t="s">
        <v>31</v>
      </c>
      <c r="I10" t="s">
        <v>31</v>
      </c>
      <c r="J10" s="1553" t="s">
        <v>272</v>
      </c>
      <c r="K10" s="1553" t="s">
        <v>273</v>
      </c>
      <c r="L10" s="1553" t="s">
        <v>274</v>
      </c>
    </row>
    <row r="11" spans="1:19" ht="38.25" customHeight="1">
      <c r="A11" s="231" t="s">
        <v>255</v>
      </c>
      <c r="B11" s="129">
        <v>2304</v>
      </c>
      <c r="C11" s="130">
        <v>1388</v>
      </c>
      <c r="D11" s="130">
        <v>925</v>
      </c>
      <c r="E11" s="131" t="s">
        <v>31</v>
      </c>
      <c r="F11" t="s">
        <v>31</v>
      </c>
      <c r="G11" t="s">
        <v>31</v>
      </c>
      <c r="H11" t="s">
        <v>31</v>
      </c>
      <c r="I11" t="s">
        <v>31</v>
      </c>
      <c r="J11" s="1554"/>
      <c r="K11" s="1554"/>
      <c r="L11" s="1554"/>
    </row>
    <row r="12" spans="1:19" ht="30">
      <c r="A12" s="231" t="s">
        <v>256</v>
      </c>
      <c r="B12" s="132">
        <f>ROUND(B11/9600,4)</f>
        <v>0.24</v>
      </c>
      <c r="C12" s="132">
        <f>ROUND(C11/9600,4)</f>
        <v>0.14460000000000001</v>
      </c>
      <c r="D12" s="132">
        <f>ROUND(D11/9600,4)</f>
        <v>9.64E-2</v>
      </c>
      <c r="E12" s="131">
        <v>0.2359</v>
      </c>
      <c r="F12" t="s">
        <v>31</v>
      </c>
      <c r="G12" t="s">
        <v>31</v>
      </c>
      <c r="H12" t="s">
        <v>31</v>
      </c>
      <c r="I12" s="49" t="s">
        <v>275</v>
      </c>
      <c r="J12" s="49">
        <v>0.28570000000000001</v>
      </c>
      <c r="K12" s="50">
        <v>2.0199999999999999E-2</v>
      </c>
      <c r="L12" s="50">
        <v>3.2199999999999999E-2</v>
      </c>
    </row>
    <row r="16" spans="1:19" ht="15" customHeight="1">
      <c r="A16" s="1550" t="s">
        <v>183</v>
      </c>
      <c r="B16" s="1550" t="s">
        <v>182</v>
      </c>
      <c r="C16" s="1548" t="s">
        <v>276</v>
      </c>
      <c r="D16" s="1548"/>
      <c r="E16" s="1548"/>
      <c r="F16" s="1548"/>
      <c r="G16" s="1548"/>
      <c r="H16" s="1548"/>
      <c r="I16" s="1548"/>
      <c r="J16" s="1548"/>
      <c r="K16" s="1548"/>
      <c r="L16" s="1549"/>
      <c r="M16" s="1548" t="s">
        <v>31</v>
      </c>
      <c r="N16" s="1548"/>
      <c r="O16" s="1548"/>
      <c r="P16" s="1549"/>
      <c r="Q16" s="1550" t="s">
        <v>277</v>
      </c>
      <c r="R16" s="1550" t="s">
        <v>278</v>
      </c>
      <c r="S16" s="1550" t="s">
        <v>184</v>
      </c>
    </row>
    <row r="17" spans="1:20" ht="86.25" customHeight="1">
      <c r="A17" s="1551"/>
      <c r="B17" s="1551"/>
      <c r="C17" s="1548" t="s">
        <v>279</v>
      </c>
      <c r="D17" s="1548"/>
      <c r="E17" s="1549"/>
      <c r="F17" s="1548" t="s">
        <v>280</v>
      </c>
      <c r="G17" s="1548"/>
      <c r="H17" s="1549"/>
      <c r="I17" s="134" t="s">
        <v>281</v>
      </c>
      <c r="J17" s="1548" t="s">
        <v>282</v>
      </c>
      <c r="K17" s="1548"/>
      <c r="L17" s="1549"/>
      <c r="M17" s="1551" t="s">
        <v>283</v>
      </c>
      <c r="N17" s="1551" t="s">
        <v>284</v>
      </c>
      <c r="O17" s="1551" t="s">
        <v>285</v>
      </c>
      <c r="P17" s="1551" t="s">
        <v>286</v>
      </c>
      <c r="Q17" s="1551"/>
      <c r="R17" s="1551"/>
      <c r="S17" s="1551"/>
    </row>
    <row r="18" spans="1:20" ht="60">
      <c r="A18" s="1552"/>
      <c r="B18" s="1552"/>
      <c r="C18" s="405" t="s">
        <v>287</v>
      </c>
      <c r="D18" s="405" t="s">
        <v>288</v>
      </c>
      <c r="E18" s="405" t="s">
        <v>289</v>
      </c>
      <c r="F18" s="405" t="s">
        <v>287</v>
      </c>
      <c r="G18" s="405" t="s">
        <v>288</v>
      </c>
      <c r="H18" s="405" t="s">
        <v>290</v>
      </c>
      <c r="I18" s="405" t="s">
        <v>291</v>
      </c>
      <c r="J18" s="405" t="s">
        <v>292</v>
      </c>
      <c r="K18" s="405" t="s">
        <v>293</v>
      </c>
      <c r="L18" s="405" t="s">
        <v>294</v>
      </c>
      <c r="M18" s="1551"/>
      <c r="N18" s="1551"/>
      <c r="O18" s="1551"/>
      <c r="P18" s="1551"/>
      <c r="Q18" s="1551"/>
      <c r="R18" s="1551"/>
      <c r="S18" s="1551"/>
    </row>
    <row r="19" spans="1:20" ht="63">
      <c r="A19" s="59" t="s">
        <v>344</v>
      </c>
      <c r="B19" s="146" t="s">
        <v>631</v>
      </c>
      <c r="C19" s="576">
        <v>720</v>
      </c>
      <c r="D19" s="576">
        <v>600</v>
      </c>
      <c r="E19" s="576">
        <v>0</v>
      </c>
      <c r="F19" s="577">
        <f>ROUND((C19*B12),2)</f>
        <v>172.8</v>
      </c>
      <c r="G19" s="577">
        <f>ROUND((D19*C12),2)</f>
        <v>86.76</v>
      </c>
      <c r="H19" s="577">
        <f>ROUND((E19*D12),2)</f>
        <v>0</v>
      </c>
      <c r="I19" s="577">
        <f>ROUND(((F19+G19+H19)*$E$12),2)</f>
        <v>61.23</v>
      </c>
      <c r="J19" s="607">
        <f>K19+L19</f>
        <v>34937.599999999999</v>
      </c>
      <c r="K19" s="607">
        <v>392.34</v>
      </c>
      <c r="L19" s="607">
        <v>34545.26</v>
      </c>
      <c r="M19" s="577">
        <v>144.49</v>
      </c>
      <c r="N19" s="577">
        <f>ROUND(((F19+G19+H19)*$J$12),2)</f>
        <v>74.16</v>
      </c>
      <c r="O19" s="577">
        <f>ROUND(((F19+G19+$H$19)*K12),2)</f>
        <v>5.24</v>
      </c>
      <c r="P19" s="577">
        <f>ROUND(((F19+G19+H19)*$L$12),2)</f>
        <v>8.36</v>
      </c>
      <c r="Q19" s="581">
        <f>ROUND((F19+G19+H19+I19+J19+M19+N19+O19+P19),2)</f>
        <v>35490.639999999999</v>
      </c>
      <c r="R19" s="583">
        <v>0</v>
      </c>
      <c r="S19" s="581">
        <f>Q19-R19</f>
        <v>35490.639999999999</v>
      </c>
    </row>
    <row r="20" spans="1:20" ht="47.25">
      <c r="A20" s="58" t="s">
        <v>632</v>
      </c>
      <c r="B20" s="568" t="s">
        <v>633</v>
      </c>
      <c r="C20" s="579">
        <v>720</v>
      </c>
      <c r="D20" s="419">
        <v>600</v>
      </c>
      <c r="E20" s="419">
        <v>120</v>
      </c>
      <c r="F20" s="420">
        <f>ROUND((C20*B12),2)</f>
        <v>172.8</v>
      </c>
      <c r="G20" s="420">
        <f>ROUND((D20*C12),2)</f>
        <v>86.76</v>
      </c>
      <c r="H20" s="420">
        <f>ROUND((E20*D12),2)</f>
        <v>11.57</v>
      </c>
      <c r="I20" s="420">
        <f>ROUND(((F20+G20+H20)*$E$12),2)</f>
        <v>63.96</v>
      </c>
      <c r="J20" s="77">
        <f>K20+L20</f>
        <v>24214.5</v>
      </c>
      <c r="K20" s="77">
        <v>433.49</v>
      </c>
      <c r="L20" s="77">
        <v>23781.01</v>
      </c>
      <c r="M20" s="420">
        <v>144.5</v>
      </c>
      <c r="N20" s="420">
        <f>ROUND(((F20+G20+H20)*$J$12),2)</f>
        <v>77.459999999999994</v>
      </c>
      <c r="O20" s="420">
        <f>ROUND(((F20+G20+$H$20)*K12),2)</f>
        <v>5.48</v>
      </c>
      <c r="P20" s="420">
        <f>ROUND(((F20+G20+H20)*$L$12),2)</f>
        <v>8.73</v>
      </c>
      <c r="Q20" s="582">
        <f>ROUND((F20+G20+H20+I20+J20+M20+N20+O20+P20),2)</f>
        <v>24785.759999999998</v>
      </c>
      <c r="R20" s="584">
        <v>0</v>
      </c>
      <c r="S20" s="582">
        <f>Q20-R20</f>
        <v>24785.759999999998</v>
      </c>
    </row>
    <row r="23" spans="1:20" ht="15.75">
      <c r="A23" s="2"/>
      <c r="B23" s="2"/>
      <c r="C23" s="8"/>
      <c r="D23" s="2"/>
      <c r="E23" s="2"/>
      <c r="F23" s="2"/>
      <c r="G23" s="2"/>
      <c r="H23" s="2"/>
      <c r="I23" s="2"/>
      <c r="J23" s="2"/>
      <c r="K23" s="2"/>
      <c r="L23" s="2"/>
      <c r="M23" s="2"/>
      <c r="N23" s="3"/>
    </row>
    <row r="24" spans="1:20" ht="30" customHeight="1">
      <c r="A24" s="1712" t="s">
        <v>183</v>
      </c>
      <c r="B24" s="1714" t="s">
        <v>634</v>
      </c>
      <c r="C24" s="1712" t="s">
        <v>635</v>
      </c>
      <c r="D24" s="1712" t="s">
        <v>636</v>
      </c>
      <c r="E24" s="1712" t="s">
        <v>197</v>
      </c>
      <c r="F24" s="1710" t="s">
        <v>637</v>
      </c>
      <c r="G24" s="1712" t="s">
        <v>638</v>
      </c>
      <c r="H24" s="1712"/>
      <c r="I24" s="1712"/>
      <c r="J24" s="1708" t="s">
        <v>640</v>
      </c>
      <c r="K24" s="1708"/>
      <c r="L24" s="1708"/>
      <c r="M24" s="1709" t="s">
        <v>855</v>
      </c>
      <c r="N24" s="1709"/>
      <c r="O24" s="1709"/>
      <c r="P24" s="1712" t="s">
        <v>639</v>
      </c>
      <c r="Q24" s="1709" t="s">
        <v>856</v>
      </c>
      <c r="R24" s="1708" t="s">
        <v>857</v>
      </c>
      <c r="S24" s="1708"/>
      <c r="T24" s="1708"/>
    </row>
    <row r="25" spans="1:20" ht="31.5">
      <c r="A25" s="1712"/>
      <c r="B25" s="1714"/>
      <c r="C25" s="1712"/>
      <c r="D25" s="1712"/>
      <c r="E25" s="1712"/>
      <c r="F25" s="1711"/>
      <c r="G25" s="56" t="s">
        <v>308</v>
      </c>
      <c r="H25" s="56" t="s">
        <v>309</v>
      </c>
      <c r="I25" s="56" t="s">
        <v>310</v>
      </c>
      <c r="J25" s="379" t="s">
        <v>308</v>
      </c>
      <c r="K25" s="379" t="s">
        <v>309</v>
      </c>
      <c r="L25" s="123" t="s">
        <v>310</v>
      </c>
      <c r="M25" s="57" t="s">
        <v>308</v>
      </c>
      <c r="N25" s="57" t="s">
        <v>309</v>
      </c>
      <c r="O25" s="57" t="s">
        <v>310</v>
      </c>
      <c r="P25" s="1712"/>
      <c r="Q25" s="1709"/>
      <c r="R25" s="379" t="s">
        <v>308</v>
      </c>
      <c r="S25" s="379" t="s">
        <v>309</v>
      </c>
      <c r="T25" s="123" t="s">
        <v>310</v>
      </c>
    </row>
    <row r="26" spans="1:20" ht="73.5" customHeight="1">
      <c r="A26" s="58"/>
      <c r="B26" s="578" t="s">
        <v>641</v>
      </c>
      <c r="C26" s="60">
        <v>27639.3</v>
      </c>
      <c r="D26" s="61">
        <v>0</v>
      </c>
      <c r="E26" s="62">
        <v>1</v>
      </c>
      <c r="F26" s="62">
        <v>128</v>
      </c>
      <c r="G26" s="63">
        <v>0</v>
      </c>
      <c r="H26" s="63">
        <v>0</v>
      </c>
      <c r="I26" s="63">
        <v>150</v>
      </c>
      <c r="J26" s="63">
        <v>0</v>
      </c>
      <c r="K26" s="63">
        <v>0</v>
      </c>
      <c r="L26" s="443">
        <f>(I26-F26)*C26</f>
        <v>608064.6</v>
      </c>
      <c r="M26" s="63">
        <v>0</v>
      </c>
      <c r="N26" s="63">
        <v>0</v>
      </c>
      <c r="O26" s="63">
        <v>200</v>
      </c>
      <c r="P26" s="64">
        <f>C26*E26*(I26-F26)</f>
        <v>608064.6</v>
      </c>
      <c r="Q26" s="64">
        <f>C26*E26*(O26-F26)</f>
        <v>1990029.5999999999</v>
      </c>
      <c r="R26" s="418">
        <v>0</v>
      </c>
      <c r="S26" s="418">
        <v>0</v>
      </c>
      <c r="T26" s="418">
        <f>(O26-F26)*C26</f>
        <v>1990029.5999999999</v>
      </c>
    </row>
    <row r="27" spans="1:20" ht="70.5" customHeight="1">
      <c r="A27" s="803" t="s">
        <v>344</v>
      </c>
      <c r="B27" s="146" t="s">
        <v>631</v>
      </c>
      <c r="C27" s="798">
        <f>S19</f>
        <v>35490.639999999999</v>
      </c>
      <c r="D27" s="799">
        <v>0</v>
      </c>
      <c r="E27" s="13">
        <v>1</v>
      </c>
      <c r="F27" s="13">
        <v>0</v>
      </c>
      <c r="G27" s="14">
        <v>0</v>
      </c>
      <c r="H27" s="14">
        <v>0</v>
      </c>
      <c r="I27" s="14">
        <v>30</v>
      </c>
      <c r="J27" s="14">
        <v>0</v>
      </c>
      <c r="K27" s="14">
        <v>0</v>
      </c>
      <c r="L27" s="798">
        <f>I27*C27</f>
        <v>1064719.2</v>
      </c>
      <c r="M27" s="14">
        <v>0</v>
      </c>
      <c r="N27" s="14">
        <v>0</v>
      </c>
      <c r="O27" s="14">
        <v>50</v>
      </c>
      <c r="P27" s="800">
        <f>C27*E27*I27</f>
        <v>1064719.2</v>
      </c>
      <c r="Q27" s="801">
        <f>C27*E27*O27</f>
        <v>1774532</v>
      </c>
      <c r="R27" s="802">
        <v>0</v>
      </c>
      <c r="S27" s="802">
        <v>0</v>
      </c>
      <c r="T27" s="802">
        <f>O27*C27</f>
        <v>1774532</v>
      </c>
    </row>
    <row r="28" spans="1:20" ht="15.75">
      <c r="A28" s="2"/>
      <c r="B28" s="2"/>
      <c r="C28" s="10"/>
      <c r="D28" s="10"/>
      <c r="E28" s="10"/>
      <c r="F28" s="636"/>
      <c r="G28" s="11"/>
      <c r="H28" s="11"/>
      <c r="I28" s="28"/>
      <c r="J28" s="66"/>
      <c r="K28" s="28"/>
      <c r="L28" s="28"/>
      <c r="P28" s="65">
        <f>SUM(P26:P27)</f>
        <v>1672783.7999999998</v>
      </c>
      <c r="Q28" s="76">
        <f>SUM(Q26:Q27)</f>
        <v>3764561.5999999996</v>
      </c>
    </row>
    <row r="29" spans="1:20" ht="18" customHeight="1">
      <c r="A29" s="1713"/>
      <c r="B29" s="1713"/>
      <c r="C29" s="1713"/>
      <c r="D29" s="2"/>
      <c r="E29" s="2"/>
      <c r="F29" s="2"/>
      <c r="G29" s="2"/>
      <c r="H29" s="2"/>
      <c r="I29" s="2"/>
      <c r="J29" s="2"/>
      <c r="K29" s="2"/>
      <c r="L29" s="2"/>
      <c r="M29" s="2"/>
      <c r="N29" s="3"/>
    </row>
    <row r="30" spans="1:20" ht="15.75">
      <c r="A30" s="1713" t="s">
        <v>642</v>
      </c>
      <c r="B30" s="1713"/>
      <c r="C30" s="1713"/>
      <c r="D30" s="1713"/>
      <c r="E30" s="1713"/>
      <c r="F30" s="1713"/>
      <c r="G30" s="55"/>
      <c r="H30" s="2"/>
      <c r="I30" s="2"/>
      <c r="J30" s="2"/>
      <c r="K30" s="2"/>
      <c r="L30" s="2"/>
      <c r="M30" s="2"/>
      <c r="N30" s="3"/>
    </row>
    <row r="31" spans="1:20" ht="16.5" customHeight="1">
      <c r="A31" s="67" t="s">
        <v>794</v>
      </c>
      <c r="B31" s="67"/>
    </row>
  </sheetData>
  <mergeCells count="31">
    <mergeCell ref="Q16:Q18"/>
    <mergeCell ref="R16:R18"/>
    <mergeCell ref="S16:S18"/>
    <mergeCell ref="C17:E17"/>
    <mergeCell ref="F17:H17"/>
    <mergeCell ref="J17:L17"/>
    <mergeCell ref="M17:M18"/>
    <mergeCell ref="N17:N18"/>
    <mergeCell ref="O17:O18"/>
    <mergeCell ref="P17:P18"/>
    <mergeCell ref="A30:F30"/>
    <mergeCell ref="A29:C29"/>
    <mergeCell ref="A24:A25"/>
    <mergeCell ref="B24:B25"/>
    <mergeCell ref="C24:C25"/>
    <mergeCell ref="D24:D25"/>
    <mergeCell ref="E24:E25"/>
    <mergeCell ref="R24:T24"/>
    <mergeCell ref="J24:L24"/>
    <mergeCell ref="Q24:Q25"/>
    <mergeCell ref="F24:F25"/>
    <mergeCell ref="M24:O24"/>
    <mergeCell ref="G24:I24"/>
    <mergeCell ref="P24:P25"/>
    <mergeCell ref="A16:A18"/>
    <mergeCell ref="B16:B18"/>
    <mergeCell ref="C16:L16"/>
    <mergeCell ref="M16:P16"/>
    <mergeCell ref="J10:J11"/>
    <mergeCell ref="K10:K11"/>
    <mergeCell ref="L10:L11"/>
  </mergeCells>
  <pageMargins left="0.7" right="0.7" top="0.75" bottom="0.75" header="0.3" footer="0.3"/>
  <pageSetup paperSize="9" scale="26"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T32"/>
  <sheetViews>
    <sheetView zoomScaleNormal="100" workbookViewId="0">
      <selection activeCell="A4" sqref="A4"/>
    </sheetView>
  </sheetViews>
  <sheetFormatPr defaultColWidth="9.125" defaultRowHeight="15"/>
  <cols>
    <col min="1" max="2" width="24.125" style="51" customWidth="1"/>
    <col min="3" max="3" width="24.25" style="51" customWidth="1"/>
    <col min="4" max="4" width="22.75" style="51" customWidth="1"/>
    <col min="5" max="5" width="14.5" style="51" customWidth="1"/>
    <col min="6" max="6" width="15.25" style="51" customWidth="1"/>
    <col min="7" max="7" width="16.5" style="51" customWidth="1"/>
    <col min="8" max="8" width="15.125" style="51" customWidth="1"/>
    <col min="9" max="9" width="13.125" style="51" customWidth="1"/>
    <col min="10" max="10" width="22.125" style="51" customWidth="1"/>
    <col min="11" max="11" width="15.5" style="51" customWidth="1"/>
    <col min="12" max="12" width="13.25" style="51" customWidth="1"/>
    <col min="13" max="13" width="14.75" style="51" customWidth="1"/>
    <col min="14" max="14" width="11.5" style="51" bestFit="1" customWidth="1"/>
    <col min="15" max="15" width="13.125" style="51" customWidth="1"/>
    <col min="16" max="17" width="9.25" style="51" bestFit="1" customWidth="1"/>
    <col min="18" max="18" width="9.5" style="51" bestFit="1" customWidth="1"/>
    <col min="19" max="19" width="11.5" style="51" bestFit="1" customWidth="1"/>
    <col min="20" max="20" width="9.5" style="51" bestFit="1" customWidth="1"/>
    <col min="21" max="16384" width="9.125" style="51"/>
  </cols>
  <sheetData>
    <row r="1" spans="1:20">
      <c r="Q1" s="166" t="s">
        <v>801</v>
      </c>
    </row>
    <row r="3" spans="1:20" ht="15.75">
      <c r="B3" s="927" t="s">
        <v>800</v>
      </c>
      <c r="L3" s="53"/>
    </row>
    <row r="5" spans="1:20" ht="72" customHeight="1">
      <c r="A5" s="145" t="s">
        <v>159</v>
      </c>
      <c r="B5" s="145" t="s">
        <v>181</v>
      </c>
      <c r="C5" s="5" t="s">
        <v>1020</v>
      </c>
      <c r="D5" s="5" t="s">
        <v>1069</v>
      </c>
    </row>
    <row r="6" spans="1:20" ht="45">
      <c r="A6" s="85" t="s">
        <v>70</v>
      </c>
      <c r="B6" s="674">
        <v>0</v>
      </c>
      <c r="C6" s="252">
        <f>K20</f>
        <v>492356</v>
      </c>
      <c r="D6" s="21">
        <f>O20</f>
        <v>861623</v>
      </c>
    </row>
    <row r="7" spans="1:20">
      <c r="A7" s="119"/>
      <c r="B7" s="119"/>
      <c r="C7" s="570"/>
      <c r="D7" s="406"/>
    </row>
    <row r="8" spans="1:20" ht="15" customHeight="1">
      <c r="A8" s="119"/>
      <c r="B8" s="119"/>
      <c r="C8" s="688"/>
      <c r="D8" s="686" t="s">
        <v>251</v>
      </c>
      <c r="E8" s="433" t="s">
        <v>252</v>
      </c>
      <c r="F8" s="433" t="s">
        <v>253</v>
      </c>
      <c r="G8" s="433" t="s">
        <v>254</v>
      </c>
      <c r="H8" s="434"/>
      <c r="I8" s="432"/>
      <c r="J8" s="432"/>
      <c r="K8" s="432"/>
      <c r="L8" s="1723" t="s">
        <v>272</v>
      </c>
      <c r="M8" s="1723" t="s">
        <v>273</v>
      </c>
      <c r="N8" s="1723" t="s">
        <v>274</v>
      </c>
    </row>
    <row r="9" spans="1:20">
      <c r="A9" s="119"/>
      <c r="B9" s="119"/>
      <c r="C9" s="687" t="s">
        <v>255</v>
      </c>
      <c r="D9" s="685">
        <v>2304</v>
      </c>
      <c r="E9" s="383">
        <v>1388</v>
      </c>
      <c r="F9" s="383">
        <v>925</v>
      </c>
      <c r="G9" s="433"/>
      <c r="H9" s="432"/>
      <c r="I9" s="432"/>
      <c r="J9" s="432"/>
      <c r="K9" s="432"/>
      <c r="L9" s="1724"/>
      <c r="M9" s="1724"/>
      <c r="N9" s="1724"/>
    </row>
    <row r="10" spans="1:20">
      <c r="A10" s="119"/>
      <c r="B10" s="119"/>
      <c r="C10" s="687" t="s">
        <v>256</v>
      </c>
      <c r="D10" s="684">
        <f>ROUND(D9/9600,4)</f>
        <v>0.24</v>
      </c>
      <c r="E10" s="384">
        <f t="shared" ref="E10:F10" si="0">ROUND(E9/9600,4)</f>
        <v>0.14460000000000001</v>
      </c>
      <c r="F10" s="384">
        <f t="shared" si="0"/>
        <v>9.64E-2</v>
      </c>
      <c r="G10" s="433">
        <v>0.2359</v>
      </c>
      <c r="H10" s="432"/>
      <c r="I10" s="432"/>
      <c r="J10" s="432"/>
      <c r="K10" s="435" t="s">
        <v>275</v>
      </c>
      <c r="L10" s="433">
        <v>0.28570000000000001</v>
      </c>
      <c r="M10" s="433">
        <v>2.0199999999999999E-2</v>
      </c>
      <c r="N10" s="433">
        <v>3.2199999999999999E-2</v>
      </c>
    </row>
    <row r="12" spans="1:20">
      <c r="A12" s="1550" t="s">
        <v>183</v>
      </c>
      <c r="B12" s="648"/>
      <c r="C12" s="1550" t="s">
        <v>182</v>
      </c>
      <c r="D12" s="1548" t="s">
        <v>276</v>
      </c>
      <c r="E12" s="1548"/>
      <c r="F12" s="1548"/>
      <c r="G12" s="1548"/>
      <c r="H12" s="1548"/>
      <c r="I12" s="1548"/>
      <c r="J12" s="1548"/>
      <c r="K12" s="1548"/>
      <c r="L12" s="1548"/>
      <c r="M12" s="1549"/>
      <c r="N12" s="1548" t="s">
        <v>31</v>
      </c>
      <c r="O12" s="1548"/>
      <c r="P12" s="1548"/>
      <c r="Q12" s="1549"/>
      <c r="R12" s="1550" t="s">
        <v>277</v>
      </c>
      <c r="S12" s="1550" t="s">
        <v>278</v>
      </c>
      <c r="T12" s="1550" t="s">
        <v>184</v>
      </c>
    </row>
    <row r="13" spans="1:20" ht="45">
      <c r="A13" s="1551"/>
      <c r="B13" s="649"/>
      <c r="C13" s="1551"/>
      <c r="D13" s="1548" t="s">
        <v>279</v>
      </c>
      <c r="E13" s="1548"/>
      <c r="F13" s="1549"/>
      <c r="G13" s="1548" t="s">
        <v>280</v>
      </c>
      <c r="H13" s="1548"/>
      <c r="I13" s="1549"/>
      <c r="J13" s="134" t="s">
        <v>281</v>
      </c>
      <c r="K13" s="1548" t="s">
        <v>282</v>
      </c>
      <c r="L13" s="1548"/>
      <c r="M13" s="1549"/>
      <c r="N13" s="1551" t="s">
        <v>283</v>
      </c>
      <c r="O13" s="1551" t="s">
        <v>284</v>
      </c>
      <c r="P13" s="1551" t="s">
        <v>285</v>
      </c>
      <c r="Q13" s="1551" t="s">
        <v>286</v>
      </c>
      <c r="R13" s="1551"/>
      <c r="S13" s="1551"/>
      <c r="T13" s="1551"/>
    </row>
    <row r="14" spans="1:20" ht="45">
      <c r="A14" s="1552"/>
      <c r="B14" s="650"/>
      <c r="C14" s="1552"/>
      <c r="D14" s="405" t="s">
        <v>287</v>
      </c>
      <c r="E14" s="405" t="s">
        <v>288</v>
      </c>
      <c r="F14" s="405" t="s">
        <v>289</v>
      </c>
      <c r="G14" s="405" t="s">
        <v>287</v>
      </c>
      <c r="H14" s="405" t="s">
        <v>288</v>
      </c>
      <c r="I14" s="405" t="s">
        <v>290</v>
      </c>
      <c r="J14" s="405" t="s">
        <v>291</v>
      </c>
      <c r="K14" s="405" t="s">
        <v>292</v>
      </c>
      <c r="L14" s="405" t="s">
        <v>293</v>
      </c>
      <c r="M14" s="405" t="s">
        <v>294</v>
      </c>
      <c r="N14" s="1551"/>
      <c r="O14" s="1551"/>
      <c r="P14" s="1551"/>
      <c r="Q14" s="1551"/>
      <c r="R14" s="1551"/>
      <c r="S14" s="1551"/>
      <c r="T14" s="1551"/>
    </row>
    <row r="15" spans="1:20" ht="56.25" customHeight="1">
      <c r="A15" s="651" t="s">
        <v>643</v>
      </c>
      <c r="B15" s="689"/>
      <c r="C15" s="444" t="s">
        <v>644</v>
      </c>
      <c r="D15" s="419">
        <v>360</v>
      </c>
      <c r="E15" s="419">
        <v>360</v>
      </c>
      <c r="F15" s="419">
        <v>0</v>
      </c>
      <c r="G15" s="420">
        <f>ROUND((D15*D10),2)</f>
        <v>86.4</v>
      </c>
      <c r="H15" s="420">
        <f>ROUND((E15*E10),2)</f>
        <v>52.06</v>
      </c>
      <c r="I15" s="420">
        <v>0</v>
      </c>
      <c r="J15" s="420">
        <f>ROUND(((G15+H15+I15)*G10),2)</f>
        <v>32.659999999999997</v>
      </c>
      <c r="K15" s="20">
        <f>L15+M15</f>
        <v>24242.809999999998</v>
      </c>
      <c r="L15" s="20">
        <v>79.03</v>
      </c>
      <c r="M15" s="20">
        <v>24163.78</v>
      </c>
      <c r="N15" s="420">
        <v>157.04</v>
      </c>
      <c r="O15" s="420">
        <f>ROUND(((G15+H15+I15)*L10),2)</f>
        <v>39.56</v>
      </c>
      <c r="P15" s="420">
        <f>ROUND(((G15+H15+I15)*M10),2)</f>
        <v>2.8</v>
      </c>
      <c r="Q15" s="420">
        <f>ROUND(((G15+H15+I15)*N10),2)</f>
        <v>4.46</v>
      </c>
      <c r="R15" s="421">
        <f>ROUND((G15+H15+I15+J15+K15+N15+O15+P15+Q15),2)</f>
        <v>24617.79</v>
      </c>
      <c r="S15" s="421">
        <v>0</v>
      </c>
      <c r="T15" s="421">
        <f>R15-S15</f>
        <v>24617.79</v>
      </c>
    </row>
    <row r="18" spans="1:16" ht="29.25" customHeight="1">
      <c r="A18" s="1555" t="s">
        <v>183</v>
      </c>
      <c r="B18" s="18"/>
      <c r="C18" s="1555" t="s">
        <v>182</v>
      </c>
      <c r="D18" s="1719" t="s">
        <v>195</v>
      </c>
      <c r="E18" s="1718" t="s">
        <v>645</v>
      </c>
      <c r="F18" s="1721" t="s">
        <v>646</v>
      </c>
      <c r="G18" s="1555" t="s">
        <v>197</v>
      </c>
      <c r="H18" s="1558" t="s">
        <v>858</v>
      </c>
      <c r="I18" s="1559"/>
      <c r="J18" s="1717"/>
      <c r="K18" s="1715" t="s">
        <v>1071</v>
      </c>
      <c r="L18" s="1726" t="s">
        <v>859</v>
      </c>
      <c r="M18" s="1726"/>
      <c r="N18" s="1726"/>
      <c r="O18" s="1725" t="s">
        <v>1070</v>
      </c>
      <c r="P18" s="588"/>
    </row>
    <row r="19" spans="1:16" ht="29.25" customHeight="1">
      <c r="A19" s="1557"/>
      <c r="B19" s="647"/>
      <c r="C19" s="1557"/>
      <c r="D19" s="1720"/>
      <c r="E19" s="1718"/>
      <c r="F19" s="1722"/>
      <c r="G19" s="1557"/>
      <c r="H19" s="4" t="s">
        <v>308</v>
      </c>
      <c r="I19" s="5" t="s">
        <v>309</v>
      </c>
      <c r="J19" s="5" t="s">
        <v>310</v>
      </c>
      <c r="K19" s="1716"/>
      <c r="L19" s="647" t="s">
        <v>308</v>
      </c>
      <c r="M19" s="690" t="s">
        <v>309</v>
      </c>
      <c r="N19" s="691" t="s">
        <v>310</v>
      </c>
      <c r="O19" s="1708"/>
      <c r="P19" s="119"/>
    </row>
    <row r="20" spans="1:16" ht="68.25" customHeight="1">
      <c r="A20" s="652" t="s">
        <v>643</v>
      </c>
      <c r="B20" s="652"/>
      <c r="C20" s="439" t="s">
        <v>644</v>
      </c>
      <c r="D20" s="436">
        <f>T15</f>
        <v>24617.79</v>
      </c>
      <c r="E20" s="438" t="s">
        <v>647</v>
      </c>
      <c r="F20" s="158">
        <v>0</v>
      </c>
      <c r="G20" s="72">
        <v>1</v>
      </c>
      <c r="H20" s="437">
        <v>0</v>
      </c>
      <c r="I20" s="437">
        <v>0</v>
      </c>
      <c r="J20" s="653">
        <v>20</v>
      </c>
      <c r="K20" s="987">
        <f>ROUND(D20*J20,0)</f>
        <v>492356</v>
      </c>
      <c r="L20" s="437">
        <v>0</v>
      </c>
      <c r="M20" s="437">
        <v>0</v>
      </c>
      <c r="N20" s="654">
        <v>35</v>
      </c>
      <c r="O20" s="987">
        <f>ROUND(D20*N20,0)</f>
        <v>861623</v>
      </c>
      <c r="P20" s="589"/>
    </row>
    <row r="21" spans="1:16">
      <c r="A21" s="51" t="s">
        <v>648</v>
      </c>
      <c r="L21" s="51" t="s">
        <v>649</v>
      </c>
      <c r="N21" s="587"/>
    </row>
    <row r="22" spans="1:16">
      <c r="A22" s="51" t="s">
        <v>650</v>
      </c>
    </row>
    <row r="32" spans="1:16">
      <c r="C32" s="692"/>
    </row>
  </sheetData>
  <mergeCells count="27">
    <mergeCell ref="L8:L9"/>
    <mergeCell ref="M8:M9"/>
    <mergeCell ref="N8:N9"/>
    <mergeCell ref="S12:S14"/>
    <mergeCell ref="O18:O19"/>
    <mergeCell ref="L18:N18"/>
    <mergeCell ref="T12:T14"/>
    <mergeCell ref="D13:F13"/>
    <mergeCell ref="G13:I13"/>
    <mergeCell ref="K13:M13"/>
    <mergeCell ref="N13:N14"/>
    <mergeCell ref="O13:O14"/>
    <mergeCell ref="P13:P14"/>
    <mergeCell ref="Q13:Q14"/>
    <mergeCell ref="A12:A14"/>
    <mergeCell ref="C12:C14"/>
    <mergeCell ref="D12:M12"/>
    <mergeCell ref="N12:Q12"/>
    <mergeCell ref="R12:R14"/>
    <mergeCell ref="K18:K19"/>
    <mergeCell ref="H18:J18"/>
    <mergeCell ref="G18:G19"/>
    <mergeCell ref="E18:E19"/>
    <mergeCell ref="A18:A19"/>
    <mergeCell ref="C18:C19"/>
    <mergeCell ref="D18:D19"/>
    <mergeCell ref="F18:F19"/>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A1:M13"/>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J1" s="900" t="s">
        <v>820</v>
      </c>
    </row>
    <row r="2" spans="1:13" ht="35.25" customHeight="1">
      <c r="A2" s="1520" t="s">
        <v>818</v>
      </c>
      <c r="B2" s="1520"/>
      <c r="C2" s="1520"/>
      <c r="D2" s="901"/>
    </row>
    <row r="3" spans="1:13">
      <c r="A3" s="1476" t="s">
        <v>1</v>
      </c>
      <c r="B3" s="1527" t="s">
        <v>1072</v>
      </c>
      <c r="C3" s="1527"/>
      <c r="D3" s="901"/>
    </row>
    <row r="4" spans="1:13">
      <c r="A4" s="1477"/>
      <c r="B4" s="902" t="s">
        <v>653</v>
      </c>
      <c r="C4" s="903" t="s">
        <v>654</v>
      </c>
      <c r="D4" s="904"/>
    </row>
    <row r="5" spans="1:13" ht="25.5">
      <c r="A5" s="905" t="s">
        <v>818</v>
      </c>
      <c r="B5" s="906">
        <v>0</v>
      </c>
      <c r="C5" s="488">
        <f>3500*1.21</f>
        <v>4235</v>
      </c>
      <c r="D5" s="904"/>
    </row>
    <row r="6" spans="1:13" ht="93" customHeight="1">
      <c r="A6" s="1519" t="s">
        <v>1094</v>
      </c>
      <c r="B6" s="1519"/>
      <c r="C6" s="1519"/>
      <c r="D6" s="904"/>
    </row>
    <row r="7" spans="1:13">
      <c r="A7" s="1521"/>
      <c r="B7" s="1521"/>
      <c r="C7" s="1521"/>
    </row>
    <row r="9" spans="1:13">
      <c r="A9" s="1520" t="s">
        <v>818</v>
      </c>
      <c r="B9" s="1520"/>
      <c r="C9" s="1520"/>
      <c r="D9" s="1520"/>
      <c r="E9" s="1520"/>
      <c r="F9" s="1520"/>
      <c r="G9" s="1520"/>
      <c r="H9" s="1520"/>
      <c r="I9" s="1520"/>
      <c r="J9" s="1520"/>
      <c r="K9" s="1520"/>
    </row>
    <row r="10" spans="1:13" ht="51">
      <c r="A10" s="907"/>
      <c r="B10" s="908" t="s">
        <v>1</v>
      </c>
      <c r="C10" s="908" t="s">
        <v>2</v>
      </c>
      <c r="D10" s="902" t="s">
        <v>3</v>
      </c>
      <c r="E10" s="902" t="s">
        <v>655</v>
      </c>
      <c r="F10" s="902" t="s">
        <v>656</v>
      </c>
      <c r="G10" s="902" t="s">
        <v>657</v>
      </c>
      <c r="H10" s="902" t="s">
        <v>658</v>
      </c>
      <c r="I10" s="902" t="s">
        <v>659</v>
      </c>
      <c r="J10" s="902" t="s">
        <v>660</v>
      </c>
      <c r="K10" s="902" t="s">
        <v>661</v>
      </c>
    </row>
    <row r="11" spans="1:13" ht="105" customHeight="1">
      <c r="A11" s="909" t="s">
        <v>819</v>
      </c>
      <c r="B11" s="905" t="s">
        <v>818</v>
      </c>
      <c r="C11" s="910"/>
      <c r="D11" s="910"/>
      <c r="E11" s="908" t="s">
        <v>666</v>
      </c>
      <c r="F11" s="906">
        <v>5</v>
      </c>
      <c r="G11" s="906">
        <v>700</v>
      </c>
      <c r="H11" s="906">
        <f>F11*G11</f>
        <v>3500</v>
      </c>
      <c r="I11" s="906">
        <v>21</v>
      </c>
      <c r="J11" s="906">
        <f>G11*1.21</f>
        <v>847</v>
      </c>
      <c r="K11" s="906">
        <f>F11*J11</f>
        <v>4235</v>
      </c>
      <c r="M11" s="911"/>
    </row>
    <row r="12" spans="1:13">
      <c r="A12" s="487"/>
      <c r="B12" s="487"/>
      <c r="C12" s="487"/>
      <c r="D12" s="487"/>
      <c r="E12" s="487"/>
      <c r="F12" s="487"/>
      <c r="G12" s="487"/>
      <c r="H12" s="912">
        <f>SUM(H11:H11)</f>
        <v>3500</v>
      </c>
      <c r="I12" s="487"/>
      <c r="J12" s="912"/>
      <c r="K12" s="906">
        <f>SUM(K11:K11)</f>
        <v>4235</v>
      </c>
    </row>
    <row r="13" spans="1:13" ht="61.5" customHeight="1">
      <c r="A13" s="1519" t="s">
        <v>1094</v>
      </c>
      <c r="B13" s="1519"/>
      <c r="C13" s="1519"/>
      <c r="D13" s="1519"/>
      <c r="E13" s="1519"/>
      <c r="F13" s="1519"/>
      <c r="G13" s="1519"/>
      <c r="H13" s="1519"/>
      <c r="I13" s="1519"/>
      <c r="J13" s="1519"/>
      <c r="K13" s="1519"/>
    </row>
  </sheetData>
  <mergeCells count="7">
    <mergeCell ref="A9:K9"/>
    <mergeCell ref="A13:K13"/>
    <mergeCell ref="A2:C2"/>
    <mergeCell ref="A3:A4"/>
    <mergeCell ref="B3:C3"/>
    <mergeCell ref="A6:C6"/>
    <mergeCell ref="A7:C7"/>
  </mergeCells>
  <pageMargins left="0.7" right="0.7" top="0.75" bottom="0.75" header="0.3" footer="0.3"/>
  <pageSetup paperSize="9" scale="46" orientation="portrait" verticalDpi="30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M12"/>
  <sheetViews>
    <sheetView view="pageBreakPreview" zoomScaleNormal="100" zoomScaleSheetLayoutView="100" workbookViewId="0">
      <selection activeCell="A3" sqref="A3:A4"/>
    </sheetView>
  </sheetViews>
  <sheetFormatPr defaultColWidth="25.5" defaultRowHeight="12.75"/>
  <cols>
    <col min="1" max="3" width="25.5" style="166"/>
    <col min="4" max="4" width="13.75" style="166" customWidth="1"/>
    <col min="5" max="5" width="14.75" style="166" customWidth="1"/>
    <col min="6" max="6" width="14.875" style="166" customWidth="1"/>
    <col min="7" max="7" width="15.125" style="166" customWidth="1"/>
    <col min="8" max="8" width="14.5" style="166" customWidth="1"/>
    <col min="9" max="9" width="14.75" style="166" customWidth="1"/>
    <col min="10" max="10" width="16.875" style="166" customWidth="1"/>
    <col min="11" max="11" width="18.5" style="166" customWidth="1"/>
    <col min="12" max="16384" width="25.5" style="166"/>
  </cols>
  <sheetData>
    <row r="1" spans="1:13">
      <c r="B1" s="900"/>
      <c r="K1" s="900" t="s">
        <v>824</v>
      </c>
    </row>
    <row r="2" spans="1:13" ht="28.5" customHeight="1">
      <c r="B2" s="988"/>
      <c r="C2" s="1647" t="s">
        <v>837</v>
      </c>
      <c r="D2" s="1647"/>
      <c r="E2" s="1647"/>
      <c r="F2" s="1647"/>
      <c r="G2" s="1647"/>
    </row>
    <row r="3" spans="1:13">
      <c r="A3" s="1476" t="s">
        <v>1</v>
      </c>
      <c r="B3" s="1527" t="s">
        <v>1073</v>
      </c>
      <c r="C3" s="1527"/>
      <c r="D3" s="901"/>
    </row>
    <row r="4" spans="1:13">
      <c r="A4" s="1477"/>
      <c r="B4" s="902" t="s">
        <v>653</v>
      </c>
      <c r="C4" s="903" t="s">
        <v>654</v>
      </c>
      <c r="D4" s="904"/>
    </row>
    <row r="5" spans="1:13" ht="51">
      <c r="A5" s="905" t="s">
        <v>822</v>
      </c>
      <c r="B5" s="906">
        <v>0</v>
      </c>
      <c r="C5" s="488">
        <f>15000*1.21</f>
        <v>18150</v>
      </c>
      <c r="D5" s="904"/>
    </row>
    <row r="6" spans="1:13" ht="123.6" customHeight="1">
      <c r="A6" s="1519" t="s">
        <v>1094</v>
      </c>
      <c r="B6" s="1519"/>
      <c r="C6" s="1519"/>
      <c r="D6" s="904"/>
    </row>
    <row r="7" spans="1:13">
      <c r="A7" s="1521"/>
      <c r="B7" s="1521"/>
      <c r="C7" s="1521"/>
    </row>
    <row r="8" spans="1:13">
      <c r="A8" s="1520" t="s">
        <v>837</v>
      </c>
      <c r="B8" s="1520"/>
      <c r="C8" s="1520"/>
      <c r="D8" s="1520"/>
      <c r="E8" s="1520"/>
      <c r="F8" s="1520"/>
      <c r="G8" s="1520"/>
      <c r="H8" s="1520"/>
      <c r="I8" s="1520"/>
      <c r="J8" s="1520"/>
      <c r="K8" s="1520"/>
    </row>
    <row r="9" spans="1:13" ht="38.25">
      <c r="A9" s="907"/>
      <c r="B9" s="908" t="s">
        <v>1</v>
      </c>
      <c r="C9" s="908" t="s">
        <v>2</v>
      </c>
      <c r="D9" s="902" t="s">
        <v>3</v>
      </c>
      <c r="E9" s="902" t="s">
        <v>655</v>
      </c>
      <c r="F9" s="902" t="s">
        <v>656</v>
      </c>
      <c r="G9" s="902" t="s">
        <v>657</v>
      </c>
      <c r="H9" s="902" t="s">
        <v>658</v>
      </c>
      <c r="I9" s="902" t="s">
        <v>659</v>
      </c>
      <c r="J9" s="902" t="s">
        <v>660</v>
      </c>
      <c r="K9" s="902" t="s">
        <v>661</v>
      </c>
    </row>
    <row r="10" spans="1:13" ht="104.1" customHeight="1">
      <c r="A10" s="909" t="s">
        <v>662</v>
      </c>
      <c r="B10" s="905" t="s">
        <v>838</v>
      </c>
      <c r="C10" s="910"/>
      <c r="D10" s="910"/>
      <c r="E10" s="908" t="s">
        <v>1</v>
      </c>
      <c r="F10" s="906">
        <v>1</v>
      </c>
      <c r="G10" s="906">
        <v>15000</v>
      </c>
      <c r="H10" s="906">
        <f>F10*G10</f>
        <v>15000</v>
      </c>
      <c r="I10" s="906">
        <v>21</v>
      </c>
      <c r="J10" s="906">
        <f>G10*1.21</f>
        <v>18150</v>
      </c>
      <c r="K10" s="906">
        <f>F10*J10</f>
        <v>18150</v>
      </c>
      <c r="M10" s="911"/>
    </row>
    <row r="11" spans="1:13">
      <c r="A11" s="487"/>
      <c r="B11" s="487"/>
      <c r="C11" s="487"/>
      <c r="D11" s="487"/>
      <c r="E11" s="487"/>
      <c r="F11" s="487"/>
      <c r="G11" s="487"/>
      <c r="H11" s="912">
        <f>SUM(H10:H10)</f>
        <v>15000</v>
      </c>
      <c r="I11" s="487"/>
      <c r="J11" s="912"/>
      <c r="K11" s="906">
        <f>SUM(K10:K10)</f>
        <v>18150</v>
      </c>
    </row>
    <row r="12" spans="1:13" ht="57.95" customHeight="1">
      <c r="A12" s="1519" t="s">
        <v>1094</v>
      </c>
      <c r="B12" s="1519"/>
      <c r="C12" s="1519"/>
      <c r="D12" s="1519"/>
      <c r="E12" s="1519"/>
      <c r="F12" s="1519"/>
      <c r="G12" s="1519"/>
      <c r="H12" s="1519"/>
      <c r="I12" s="1519"/>
      <c r="J12" s="1519"/>
      <c r="K12" s="1519"/>
    </row>
  </sheetData>
  <mergeCells count="7">
    <mergeCell ref="A8:K8"/>
    <mergeCell ref="A12:K12"/>
    <mergeCell ref="C2:G2"/>
    <mergeCell ref="A3:A4"/>
    <mergeCell ref="B3:C3"/>
    <mergeCell ref="A6:C6"/>
    <mergeCell ref="A7:C7"/>
  </mergeCells>
  <pageMargins left="0.7" right="0.7" top="0.75" bottom="0.75" header="0.3" footer="0.3"/>
  <pageSetup paperSize="9" scale="43" orientation="portrait" verticalDpi="30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M16"/>
  <sheetViews>
    <sheetView view="pageBreakPreview" zoomScaleNormal="100" zoomScaleSheetLayoutView="100" workbookViewId="0">
      <selection activeCell="A4" sqref="A4:A5"/>
    </sheetView>
  </sheetViews>
  <sheetFormatPr defaultRowHeight="14.25"/>
  <cols>
    <col min="1" max="1" width="40.5" customWidth="1"/>
    <col min="2" max="2" width="28.5" customWidth="1"/>
    <col min="3" max="3" width="38.125" customWidth="1"/>
    <col min="4" max="4" width="12.75" customWidth="1"/>
  </cols>
  <sheetData>
    <row r="1" spans="1:13">
      <c r="J1" s="166" t="s">
        <v>824</v>
      </c>
    </row>
    <row r="2" spans="1:13" ht="48.75" customHeight="1">
      <c r="B2" s="1647" t="s">
        <v>704</v>
      </c>
      <c r="C2" s="1647"/>
      <c r="D2" s="1647"/>
      <c r="E2" s="1647"/>
      <c r="F2" s="1647"/>
    </row>
    <row r="3" spans="1:13">
      <c r="A3" s="988"/>
      <c r="B3" s="988"/>
      <c r="C3" s="988"/>
      <c r="D3" s="901"/>
      <c r="E3" s="166"/>
      <c r="F3" s="166"/>
      <c r="G3" s="166"/>
      <c r="H3" s="166"/>
      <c r="I3" s="166"/>
      <c r="J3" s="166"/>
      <c r="K3" s="166"/>
      <c r="L3" s="166"/>
      <c r="M3" s="166"/>
    </row>
    <row r="4" spans="1:13">
      <c r="A4" s="1476" t="s">
        <v>1</v>
      </c>
      <c r="B4" s="1527" t="s">
        <v>1072</v>
      </c>
      <c r="C4" s="1527"/>
      <c r="D4" s="901"/>
      <c r="E4" s="166"/>
      <c r="F4" s="166"/>
      <c r="G4" s="166"/>
      <c r="H4" s="166"/>
      <c r="I4" s="166"/>
      <c r="J4" s="166"/>
      <c r="K4" s="166"/>
      <c r="L4" s="166"/>
      <c r="M4" s="166"/>
    </row>
    <row r="5" spans="1:13">
      <c r="A5" s="1477"/>
      <c r="B5" s="902" t="s">
        <v>653</v>
      </c>
      <c r="C5" s="903" t="s">
        <v>654</v>
      </c>
      <c r="D5" s="904"/>
      <c r="E5" s="166"/>
      <c r="F5" s="166"/>
      <c r="G5" s="166"/>
      <c r="H5" s="166"/>
      <c r="I5" s="166"/>
      <c r="J5" s="166"/>
      <c r="K5" s="166"/>
      <c r="L5" s="166"/>
      <c r="M5" s="166"/>
    </row>
    <row r="6" spans="1:13" ht="81" customHeight="1">
      <c r="A6" s="1071" t="s">
        <v>704</v>
      </c>
      <c r="B6" s="906">
        <v>0</v>
      </c>
      <c r="C6" s="906">
        <f>15000*1.21</f>
        <v>18150</v>
      </c>
      <c r="D6" s="904"/>
      <c r="E6" s="166"/>
      <c r="F6" s="166"/>
      <c r="G6" s="166"/>
      <c r="H6" s="166"/>
      <c r="I6" s="166"/>
      <c r="J6" s="166"/>
      <c r="K6" s="166"/>
      <c r="L6" s="166"/>
      <c r="M6" s="166"/>
    </row>
    <row r="7" spans="1:13" ht="101.1" customHeight="1">
      <c r="A7" s="1729" t="s">
        <v>1093</v>
      </c>
      <c r="B7" s="1729"/>
      <c r="C7" s="1729"/>
      <c r="D7" s="904"/>
      <c r="E7" s="166"/>
      <c r="F7" s="166"/>
      <c r="G7" s="166"/>
      <c r="H7" s="166"/>
      <c r="I7" s="166"/>
      <c r="J7" s="166"/>
      <c r="K7" s="166"/>
      <c r="L7" s="166"/>
      <c r="M7" s="166"/>
    </row>
    <row r="8" spans="1:13">
      <c r="A8" s="1521"/>
      <c r="B8" s="1521"/>
      <c r="C8" s="1521"/>
      <c r="D8" s="166"/>
      <c r="E8" s="166"/>
      <c r="F8" s="166"/>
      <c r="G8" s="166"/>
      <c r="H8" s="166"/>
      <c r="I8" s="166"/>
      <c r="J8" s="166"/>
      <c r="K8" s="166"/>
      <c r="L8" s="166"/>
      <c r="M8" s="166"/>
    </row>
    <row r="9" spans="1:13">
      <c r="A9" s="166"/>
      <c r="B9" s="166"/>
      <c r="C9" s="166"/>
      <c r="D9" s="166"/>
      <c r="E9" s="166"/>
      <c r="F9" s="166"/>
      <c r="G9" s="166"/>
      <c r="H9" s="166"/>
      <c r="I9" s="166"/>
      <c r="J9" s="166"/>
      <c r="K9" s="166"/>
      <c r="L9" s="166"/>
      <c r="M9" s="166"/>
    </row>
    <row r="10" spans="1:13">
      <c r="A10" s="166"/>
      <c r="B10" s="166"/>
      <c r="C10" s="166"/>
      <c r="D10" s="166"/>
      <c r="E10" s="166"/>
      <c r="F10" s="166"/>
      <c r="G10" s="166"/>
      <c r="H10" s="166"/>
      <c r="I10" s="166"/>
      <c r="J10" s="166"/>
      <c r="K10" s="166"/>
      <c r="L10" s="166"/>
      <c r="M10" s="166"/>
    </row>
    <row r="11" spans="1:13">
      <c r="A11" s="1520"/>
      <c r="B11" s="1520"/>
      <c r="C11" s="1520"/>
      <c r="D11" s="1520"/>
      <c r="E11" s="1520"/>
      <c r="F11" s="1520"/>
      <c r="G11" s="1520"/>
      <c r="H11" s="1520"/>
      <c r="I11" s="1520"/>
      <c r="J11" s="1520"/>
      <c r="K11" s="1520"/>
      <c r="L11" s="166"/>
      <c r="M11" s="166"/>
    </row>
    <row r="12" spans="1:13" ht="51">
      <c r="A12" s="907"/>
      <c r="B12" s="908" t="s">
        <v>1</v>
      </c>
      <c r="C12" s="908" t="s">
        <v>2</v>
      </c>
      <c r="D12" s="902" t="s">
        <v>3</v>
      </c>
      <c r="E12" s="902" t="s">
        <v>655</v>
      </c>
      <c r="F12" s="902" t="s">
        <v>656</v>
      </c>
      <c r="G12" s="902" t="s">
        <v>657</v>
      </c>
      <c r="H12" s="902" t="s">
        <v>658</v>
      </c>
      <c r="I12" s="902" t="s">
        <v>659</v>
      </c>
      <c r="J12" s="902" t="s">
        <v>660</v>
      </c>
      <c r="K12" s="902" t="s">
        <v>661</v>
      </c>
      <c r="L12" s="166"/>
      <c r="M12" s="166"/>
    </row>
    <row r="13" spans="1:13" ht="15" customHeight="1">
      <c r="A13" s="1544"/>
      <c r="B13" s="1544" t="s">
        <v>704</v>
      </c>
      <c r="C13" s="1546"/>
      <c r="D13" s="1727">
        <v>150</v>
      </c>
      <c r="E13" s="908"/>
      <c r="F13" s="906">
        <v>1</v>
      </c>
      <c r="G13" s="906"/>
      <c r="H13" s="906">
        <f>F13*G13</f>
        <v>0</v>
      </c>
      <c r="I13" s="906">
        <v>21</v>
      </c>
      <c r="J13" s="906">
        <f>G13*1.21</f>
        <v>0</v>
      </c>
      <c r="K13" s="906">
        <f>F13*J13</f>
        <v>0</v>
      </c>
      <c r="L13" s="166"/>
      <c r="M13" s="166"/>
    </row>
    <row r="14" spans="1:13" ht="97.5" customHeight="1">
      <c r="A14" s="1545"/>
      <c r="B14" s="1545"/>
      <c r="C14" s="1547"/>
      <c r="D14" s="1728"/>
      <c r="E14" s="908"/>
      <c r="F14" s="906"/>
      <c r="G14" s="906">
        <v>100</v>
      </c>
      <c r="H14" s="906">
        <f>D13*G14</f>
        <v>15000</v>
      </c>
      <c r="I14" s="906">
        <v>0.21</v>
      </c>
      <c r="J14" s="906">
        <v>121</v>
      </c>
      <c r="K14" s="906">
        <f>D13*J14</f>
        <v>18150</v>
      </c>
      <c r="L14" s="166"/>
      <c r="M14" s="166"/>
    </row>
    <row r="15" spans="1:13">
      <c r="A15" s="487"/>
      <c r="B15" s="487"/>
      <c r="C15" s="487"/>
      <c r="D15" s="487"/>
      <c r="E15" s="487"/>
      <c r="F15" s="487"/>
      <c r="G15" s="487"/>
      <c r="H15" s="912"/>
      <c r="I15" s="487"/>
      <c r="J15" s="912"/>
      <c r="K15" s="906">
        <f>K14</f>
        <v>18150</v>
      </c>
      <c r="L15" s="166"/>
      <c r="M15" s="166"/>
    </row>
    <row r="16" spans="1:13" ht="75" customHeight="1">
      <c r="A16" s="1519" t="s">
        <v>1093</v>
      </c>
      <c r="B16" s="1519"/>
      <c r="C16" s="1519"/>
      <c r="D16" s="1519"/>
      <c r="E16" s="1519"/>
      <c r="F16" s="1519"/>
      <c r="G16" s="1519"/>
      <c r="H16" s="1519"/>
      <c r="I16" s="1519"/>
      <c r="J16" s="1519"/>
      <c r="K16" s="1519"/>
      <c r="L16" s="166"/>
      <c r="M16" s="166"/>
    </row>
  </sheetData>
  <mergeCells count="11">
    <mergeCell ref="B2:F2"/>
    <mergeCell ref="A13:A14"/>
    <mergeCell ref="B13:B14"/>
    <mergeCell ref="C13:C14"/>
    <mergeCell ref="D13:D14"/>
    <mergeCell ref="A7:C7"/>
    <mergeCell ref="A16:K16"/>
    <mergeCell ref="A4:A5"/>
    <mergeCell ref="B4:C4"/>
    <mergeCell ref="A8:C8"/>
    <mergeCell ref="A11:K11"/>
  </mergeCells>
  <pageMargins left="0.7" right="0.7" top="0.75" bottom="0.75" header="0.3" footer="0.3"/>
  <pageSetup paperSize="9" scale="45" orientation="portrait" verticalDpi="30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M15"/>
  <sheetViews>
    <sheetView view="pageBreakPreview" zoomScaleNormal="100" zoomScaleSheetLayoutView="100" workbookViewId="0">
      <selection activeCell="A4" sqref="A4:A5"/>
    </sheetView>
  </sheetViews>
  <sheetFormatPr defaultRowHeight="14.25"/>
  <cols>
    <col min="1" max="1" width="40.5" customWidth="1"/>
    <col min="2" max="2" width="28.5" customWidth="1"/>
    <col min="3" max="3" width="38.125" customWidth="1"/>
  </cols>
  <sheetData>
    <row r="1" spans="1:13">
      <c r="J1" s="166" t="s">
        <v>825</v>
      </c>
    </row>
    <row r="2" spans="1:13" ht="15.75">
      <c r="B2" s="926" t="s">
        <v>148</v>
      </c>
    </row>
    <row r="3" spans="1:13">
      <c r="A3" s="1520"/>
      <c r="B3" s="1520"/>
      <c r="C3" s="1520"/>
      <c r="D3" s="901"/>
      <c r="E3" s="166"/>
      <c r="F3" s="166"/>
      <c r="G3" s="166"/>
      <c r="H3" s="166"/>
      <c r="I3" s="166"/>
      <c r="K3" s="166"/>
      <c r="L3" s="166"/>
      <c r="M3" s="166"/>
    </row>
    <row r="4" spans="1:13">
      <c r="A4" s="1476" t="s">
        <v>1</v>
      </c>
      <c r="B4" s="1527" t="s">
        <v>1072</v>
      </c>
      <c r="C4" s="1527"/>
      <c r="D4" s="901"/>
      <c r="E4" s="166"/>
      <c r="F4" s="166"/>
      <c r="G4" s="166"/>
      <c r="H4" s="166"/>
      <c r="I4" s="166"/>
      <c r="J4" s="166"/>
      <c r="K4" s="166"/>
      <c r="L4" s="166"/>
      <c r="M4" s="166"/>
    </row>
    <row r="5" spans="1:13">
      <c r="A5" s="1477"/>
      <c r="B5" s="902" t="s">
        <v>653</v>
      </c>
      <c r="C5" s="903" t="s">
        <v>654</v>
      </c>
      <c r="D5" s="904"/>
      <c r="E5" s="166"/>
      <c r="F5" s="166"/>
      <c r="G5" s="166"/>
      <c r="H5" s="166"/>
      <c r="I5" s="166"/>
      <c r="J5" s="166"/>
      <c r="K5" s="166"/>
      <c r="L5" s="166"/>
      <c r="M5" s="166"/>
    </row>
    <row r="6" spans="1:13" ht="30.75" customHeight="1">
      <c r="A6" s="699" t="s">
        <v>148</v>
      </c>
      <c r="B6" s="906">
        <v>0</v>
      </c>
      <c r="C6" s="906">
        <f>12000*1.21</f>
        <v>14520</v>
      </c>
      <c r="D6" s="904"/>
      <c r="E6" s="166"/>
      <c r="F6" s="166"/>
      <c r="G6" s="166"/>
      <c r="H6" s="166"/>
      <c r="I6" s="166"/>
      <c r="J6" s="166"/>
      <c r="K6" s="166"/>
      <c r="L6" s="166"/>
      <c r="M6" s="166"/>
    </row>
    <row r="7" spans="1:13" ht="108.95" customHeight="1">
      <c r="A7" s="1519" t="s">
        <v>1093</v>
      </c>
      <c r="B7" s="1519"/>
      <c r="C7" s="1519"/>
      <c r="D7" s="904"/>
      <c r="E7" s="166"/>
      <c r="F7" s="166"/>
      <c r="G7" s="166"/>
      <c r="H7" s="166"/>
      <c r="I7" s="166"/>
      <c r="J7" s="166"/>
      <c r="K7" s="166"/>
      <c r="L7" s="166"/>
      <c r="M7" s="166"/>
    </row>
    <row r="8" spans="1:13">
      <c r="A8" s="1521"/>
      <c r="B8" s="1521"/>
      <c r="C8" s="1521"/>
      <c r="D8" s="166"/>
      <c r="E8" s="166"/>
      <c r="F8" s="166"/>
      <c r="G8" s="166"/>
      <c r="H8" s="166"/>
      <c r="I8" s="166"/>
      <c r="J8" s="166"/>
      <c r="K8" s="166"/>
      <c r="L8" s="166"/>
      <c r="M8" s="166"/>
    </row>
    <row r="9" spans="1:13">
      <c r="A9" s="166"/>
      <c r="B9" s="166"/>
      <c r="C9" s="166"/>
      <c r="D9" s="166"/>
      <c r="E9" s="166"/>
      <c r="F9" s="166"/>
      <c r="G9" s="166"/>
      <c r="H9" s="166"/>
      <c r="I9" s="166"/>
      <c r="J9" s="166"/>
      <c r="K9" s="166"/>
      <c r="L9" s="166"/>
      <c r="M9" s="166"/>
    </row>
    <row r="10" spans="1:13">
      <c r="A10" s="1520"/>
      <c r="B10" s="1520"/>
      <c r="C10" s="1520"/>
      <c r="D10" s="1520"/>
      <c r="E10" s="1520"/>
      <c r="F10" s="1520"/>
      <c r="G10" s="1520"/>
      <c r="H10" s="1520"/>
      <c r="I10" s="1520"/>
      <c r="J10" s="1520"/>
      <c r="K10" s="1520"/>
      <c r="L10" s="166"/>
      <c r="M10" s="166"/>
    </row>
    <row r="11" spans="1:13" ht="51">
      <c r="A11" s="907"/>
      <c r="B11" s="908" t="s">
        <v>1</v>
      </c>
      <c r="C11" s="908" t="s">
        <v>2</v>
      </c>
      <c r="D11" s="902" t="s">
        <v>3</v>
      </c>
      <c r="E11" s="902" t="s">
        <v>655</v>
      </c>
      <c r="F11" s="902" t="s">
        <v>656</v>
      </c>
      <c r="G11" s="902" t="s">
        <v>657</v>
      </c>
      <c r="H11" s="902" t="s">
        <v>658</v>
      </c>
      <c r="I11" s="902" t="s">
        <v>659</v>
      </c>
      <c r="J11" s="902" t="s">
        <v>660</v>
      </c>
      <c r="K11" s="902" t="s">
        <v>661</v>
      </c>
      <c r="L11" s="166"/>
      <c r="M11" s="166"/>
    </row>
    <row r="12" spans="1:13" ht="15" customHeight="1">
      <c r="A12" s="1544"/>
      <c r="B12" s="1544" t="s">
        <v>148</v>
      </c>
      <c r="C12" s="1546"/>
      <c r="D12" s="1727">
        <v>200</v>
      </c>
      <c r="E12" s="1476"/>
      <c r="F12" s="906">
        <v>1</v>
      </c>
      <c r="G12" s="906"/>
      <c r="H12" s="906">
        <f>F12*G12</f>
        <v>0</v>
      </c>
      <c r="I12" s="906">
        <v>21</v>
      </c>
      <c r="J12" s="906">
        <f>G12*1.21</f>
        <v>0</v>
      </c>
      <c r="K12" s="906">
        <f>F12*J12</f>
        <v>0</v>
      </c>
      <c r="L12" s="166"/>
      <c r="M12" s="166"/>
    </row>
    <row r="13" spans="1:13" ht="32.25" customHeight="1">
      <c r="A13" s="1545"/>
      <c r="B13" s="1545"/>
      <c r="C13" s="1547"/>
      <c r="D13" s="1728"/>
      <c r="E13" s="1477"/>
      <c r="F13" s="906"/>
      <c r="G13" s="906">
        <v>60</v>
      </c>
      <c r="H13" s="906">
        <f>D12*G13</f>
        <v>12000</v>
      </c>
      <c r="I13" s="906">
        <v>0.21</v>
      </c>
      <c r="J13" s="906">
        <v>72.599999999999994</v>
      </c>
      <c r="K13" s="906">
        <f>J13*D12</f>
        <v>14519.999999999998</v>
      </c>
      <c r="L13" s="166"/>
      <c r="M13" s="166"/>
    </row>
    <row r="14" spans="1:13">
      <c r="A14" s="487"/>
      <c r="B14" s="487"/>
      <c r="C14" s="487"/>
      <c r="D14" s="487"/>
      <c r="E14" s="487"/>
      <c r="F14" s="487"/>
      <c r="G14" s="487"/>
      <c r="H14" s="912"/>
      <c r="I14" s="487"/>
      <c r="J14" s="912"/>
      <c r="K14" s="906">
        <f>K13</f>
        <v>14519.999999999998</v>
      </c>
      <c r="L14" s="166"/>
      <c r="M14" s="166"/>
    </row>
    <row r="15" spans="1:13" ht="81.599999999999994" customHeight="1">
      <c r="A15" s="1519" t="s">
        <v>1093</v>
      </c>
      <c r="B15" s="1519"/>
      <c r="C15" s="1519"/>
      <c r="D15" s="1519"/>
      <c r="E15" s="1519"/>
      <c r="F15" s="1519"/>
      <c r="G15" s="1519"/>
      <c r="H15" s="1519"/>
      <c r="I15" s="1519"/>
      <c r="J15" s="1519"/>
      <c r="K15" s="1519"/>
      <c r="L15" s="166"/>
      <c r="M15" s="166"/>
    </row>
  </sheetData>
  <mergeCells count="12">
    <mergeCell ref="A15:K15"/>
    <mergeCell ref="E12:E13"/>
    <mergeCell ref="A3:C3"/>
    <mergeCell ref="A4:A5"/>
    <mergeCell ref="B4:C4"/>
    <mergeCell ref="A7:C7"/>
    <mergeCell ref="A8:C8"/>
    <mergeCell ref="A10:K10"/>
    <mergeCell ref="A12:A13"/>
    <mergeCell ref="B12:B13"/>
    <mergeCell ref="C12:C13"/>
    <mergeCell ref="D12:D13"/>
  </mergeCells>
  <pageMargins left="0.7" right="0.7" top="0.75" bottom="0.75" header="0.3" footer="0.3"/>
  <pageSetup paperSize="9" scale="48" orientation="portrait" verticalDpi="30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M14"/>
  <sheetViews>
    <sheetView view="pageBreakPreview" zoomScaleNormal="100" zoomScaleSheetLayoutView="100" workbookViewId="0">
      <selection activeCell="A4" sqref="A4:A5"/>
    </sheetView>
  </sheetViews>
  <sheetFormatPr defaultRowHeight="14.25"/>
  <cols>
    <col min="1" max="1" width="40.5" customWidth="1"/>
    <col min="2" max="2" width="28.5" customWidth="1"/>
    <col min="3" max="3" width="38.125" customWidth="1"/>
  </cols>
  <sheetData>
    <row r="1" spans="1:13">
      <c r="J1" s="166" t="s">
        <v>828</v>
      </c>
    </row>
    <row r="2" spans="1:13" ht="15.75">
      <c r="B2" s="926" t="s">
        <v>150</v>
      </c>
    </row>
    <row r="3" spans="1:13">
      <c r="A3" s="1520"/>
      <c r="B3" s="1520"/>
      <c r="C3" s="1520"/>
      <c r="D3" s="901"/>
      <c r="E3" s="166"/>
      <c r="F3" s="166"/>
      <c r="G3" s="166"/>
      <c r="H3" s="166"/>
      <c r="I3" s="166"/>
      <c r="J3" s="166"/>
      <c r="K3" s="166"/>
      <c r="L3" s="166"/>
      <c r="M3" s="166"/>
    </row>
    <row r="4" spans="1:13">
      <c r="A4" s="1476" t="s">
        <v>1</v>
      </c>
      <c r="B4" s="1527" t="s">
        <v>1072</v>
      </c>
      <c r="C4" s="1527"/>
      <c r="D4" s="901"/>
      <c r="E4" s="166"/>
      <c r="F4" s="166"/>
      <c r="G4" s="166"/>
      <c r="H4" s="166"/>
      <c r="I4" s="166"/>
      <c r="J4" s="166"/>
      <c r="K4" s="166"/>
      <c r="L4" s="166"/>
      <c r="M4" s="166"/>
    </row>
    <row r="5" spans="1:13">
      <c r="A5" s="1477"/>
      <c r="B5" s="902" t="s">
        <v>653</v>
      </c>
      <c r="C5" s="903" t="s">
        <v>654</v>
      </c>
      <c r="D5" s="904"/>
      <c r="E5" s="166"/>
      <c r="F5" s="166"/>
      <c r="G5" s="166"/>
      <c r="H5" s="166"/>
      <c r="I5" s="166"/>
      <c r="J5" s="166"/>
      <c r="K5" s="166"/>
      <c r="L5" s="166"/>
      <c r="M5" s="166"/>
    </row>
    <row r="6" spans="1:13" ht="38.25" customHeight="1">
      <c r="A6" s="699" t="s">
        <v>150</v>
      </c>
      <c r="B6" s="914">
        <v>0</v>
      </c>
      <c r="C6" s="906">
        <f>7800*1.21</f>
        <v>9438</v>
      </c>
      <c r="D6" s="904"/>
      <c r="E6" s="166"/>
      <c r="F6" s="166"/>
      <c r="G6" s="166"/>
      <c r="H6" s="166"/>
      <c r="I6" s="166"/>
      <c r="J6" s="166"/>
      <c r="K6" s="166"/>
      <c r="L6" s="166"/>
      <c r="M6" s="166"/>
    </row>
    <row r="7" spans="1:13" ht="101.45" customHeight="1">
      <c r="A7" s="1519" t="s">
        <v>1093</v>
      </c>
      <c r="B7" s="1519"/>
      <c r="C7" s="1519"/>
      <c r="D7" s="904"/>
      <c r="E7" s="166"/>
      <c r="F7" s="166"/>
      <c r="G7" s="166"/>
      <c r="H7" s="166"/>
      <c r="I7" s="166"/>
      <c r="J7" s="166"/>
      <c r="K7" s="166"/>
      <c r="L7" s="166"/>
      <c r="M7" s="166"/>
    </row>
    <row r="8" spans="1:13">
      <c r="A8" s="1521"/>
      <c r="B8" s="1521"/>
      <c r="C8" s="1521"/>
      <c r="D8" s="166"/>
      <c r="E8" s="166"/>
      <c r="F8" s="166"/>
      <c r="G8" s="166"/>
      <c r="H8" s="166"/>
      <c r="I8" s="166"/>
      <c r="J8" s="166"/>
      <c r="K8" s="166"/>
      <c r="L8" s="166"/>
      <c r="M8" s="166"/>
    </row>
    <row r="9" spans="1:13">
      <c r="A9" s="1520"/>
      <c r="B9" s="1520"/>
      <c r="C9" s="1520"/>
      <c r="D9" s="1520"/>
      <c r="E9" s="1520"/>
      <c r="F9" s="1520"/>
      <c r="G9" s="1520"/>
      <c r="H9" s="1520"/>
      <c r="I9" s="1520"/>
      <c r="J9" s="1520"/>
      <c r="K9" s="1520"/>
      <c r="L9" s="166"/>
      <c r="M9" s="166"/>
    </row>
    <row r="10" spans="1:13" ht="51">
      <c r="A10" s="907"/>
      <c r="B10" s="908" t="s">
        <v>1</v>
      </c>
      <c r="C10" s="908" t="s">
        <v>2</v>
      </c>
      <c r="D10" s="902" t="s">
        <v>3</v>
      </c>
      <c r="E10" s="902" t="s">
        <v>655</v>
      </c>
      <c r="F10" s="902" t="s">
        <v>656</v>
      </c>
      <c r="G10" s="902" t="s">
        <v>657</v>
      </c>
      <c r="H10" s="902" t="s">
        <v>658</v>
      </c>
      <c r="I10" s="902" t="s">
        <v>659</v>
      </c>
      <c r="J10" s="902" t="s">
        <v>660</v>
      </c>
      <c r="K10" s="902" t="s">
        <v>661</v>
      </c>
      <c r="L10" s="166"/>
      <c r="M10" s="166"/>
    </row>
    <row r="11" spans="1:13" ht="15" customHeight="1">
      <c r="A11" s="1544"/>
      <c r="B11" s="1544" t="s">
        <v>150</v>
      </c>
      <c r="C11" s="1546"/>
      <c r="D11" s="1727">
        <v>100</v>
      </c>
      <c r="E11" s="908"/>
      <c r="F11" s="906">
        <v>1</v>
      </c>
      <c r="G11" s="906"/>
      <c r="H11" s="906">
        <f>F11*G11</f>
        <v>0</v>
      </c>
      <c r="I11" s="906">
        <v>21</v>
      </c>
      <c r="J11" s="906">
        <f>G11*1.21</f>
        <v>0</v>
      </c>
      <c r="K11" s="906">
        <f>F11*J11</f>
        <v>0</v>
      </c>
      <c r="L11" s="166"/>
      <c r="M11" s="166"/>
    </row>
    <row r="12" spans="1:13" ht="45" customHeight="1">
      <c r="A12" s="1545"/>
      <c r="B12" s="1545"/>
      <c r="C12" s="1547"/>
      <c r="D12" s="1728"/>
      <c r="E12" s="908"/>
      <c r="F12" s="906"/>
      <c r="G12" s="906">
        <v>78</v>
      </c>
      <c r="H12" s="906">
        <f>D11*G12</f>
        <v>7800</v>
      </c>
      <c r="I12" s="906">
        <v>0.21</v>
      </c>
      <c r="J12" s="906">
        <v>94.38</v>
      </c>
      <c r="K12" s="906">
        <v>9438</v>
      </c>
      <c r="L12" s="166"/>
      <c r="M12" s="166"/>
    </row>
    <row r="13" spans="1:13">
      <c r="A13" s="487"/>
      <c r="B13" s="487"/>
      <c r="C13" s="487"/>
      <c r="D13" s="487"/>
      <c r="E13" s="487"/>
      <c r="F13" s="487"/>
      <c r="G13" s="487"/>
      <c r="H13" s="912"/>
      <c r="I13" s="487"/>
      <c r="J13" s="912"/>
      <c r="K13" s="906">
        <f>K12</f>
        <v>9438</v>
      </c>
      <c r="L13" s="166"/>
      <c r="M13" s="166"/>
    </row>
    <row r="14" spans="1:13" ht="74.45" customHeight="1">
      <c r="A14" s="1519" t="s">
        <v>1093</v>
      </c>
      <c r="B14" s="1519"/>
      <c r="C14" s="1519"/>
      <c r="D14" s="1519"/>
      <c r="E14" s="1519"/>
      <c r="F14" s="1519"/>
      <c r="G14" s="1519"/>
      <c r="H14" s="1519"/>
      <c r="I14" s="1519"/>
      <c r="J14" s="1519"/>
      <c r="K14" s="1519"/>
      <c r="L14" s="166"/>
      <c r="M14" s="166"/>
    </row>
  </sheetData>
  <mergeCells count="11">
    <mergeCell ref="A14:K14"/>
    <mergeCell ref="A3:C3"/>
    <mergeCell ref="A4:A5"/>
    <mergeCell ref="B4:C4"/>
    <mergeCell ref="A7:C7"/>
    <mergeCell ref="A8:C8"/>
    <mergeCell ref="A9:K9"/>
    <mergeCell ref="A11:A12"/>
    <mergeCell ref="B11:B12"/>
    <mergeCell ref="C11:C12"/>
    <mergeCell ref="D11:D12"/>
  </mergeCells>
  <pageMargins left="0.7" right="0.7" top="0.75" bottom="0.75" header="0.3" footer="0.3"/>
  <pageSetup paperSize="9" scale="46" orientation="portrait" verticalDpi="300"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M14"/>
  <sheetViews>
    <sheetView view="pageBreakPreview" zoomScaleNormal="100" zoomScaleSheetLayoutView="100" workbookViewId="0">
      <selection activeCell="A4" sqref="A4:A5"/>
    </sheetView>
  </sheetViews>
  <sheetFormatPr defaultRowHeight="14.25"/>
  <cols>
    <col min="1" max="1" width="40.5" customWidth="1"/>
    <col min="2" max="2" width="28.5" customWidth="1"/>
    <col min="3" max="3" width="38.125" customWidth="1"/>
    <col min="4" max="4" width="12.25" customWidth="1"/>
  </cols>
  <sheetData>
    <row r="1" spans="1:13">
      <c r="J1" s="166" t="s">
        <v>831</v>
      </c>
    </row>
    <row r="2" spans="1:13" ht="15.75">
      <c r="B2" s="926" t="s">
        <v>154</v>
      </c>
    </row>
    <row r="3" spans="1:13">
      <c r="A3" s="1520"/>
      <c r="B3" s="1520"/>
      <c r="C3" s="1520"/>
      <c r="D3" s="901"/>
      <c r="E3" s="166"/>
      <c r="F3" s="166"/>
      <c r="G3" s="166"/>
      <c r="H3" s="166"/>
      <c r="I3" s="166"/>
      <c r="J3" s="166"/>
      <c r="K3" s="166"/>
      <c r="L3" s="166"/>
      <c r="M3" s="166"/>
    </row>
    <row r="4" spans="1:13">
      <c r="A4" s="1476" t="s">
        <v>1</v>
      </c>
      <c r="B4" s="1527" t="s">
        <v>1072</v>
      </c>
      <c r="C4" s="1527"/>
      <c r="D4" s="901"/>
      <c r="E4" s="166"/>
      <c r="F4" s="166"/>
      <c r="G4" s="166"/>
      <c r="H4" s="166"/>
      <c r="I4" s="166"/>
      <c r="J4" s="166"/>
      <c r="K4" s="166"/>
      <c r="L4" s="166"/>
      <c r="M4" s="166"/>
    </row>
    <row r="5" spans="1:13">
      <c r="A5" s="1477"/>
      <c r="B5" s="902" t="s">
        <v>653</v>
      </c>
      <c r="C5" s="903" t="s">
        <v>654</v>
      </c>
      <c r="D5" s="904"/>
      <c r="E5" s="166"/>
      <c r="F5" s="166"/>
      <c r="G5" s="166"/>
      <c r="H5" s="166"/>
      <c r="I5" s="166"/>
      <c r="J5" s="166"/>
      <c r="K5" s="166"/>
      <c r="L5" s="166"/>
      <c r="M5" s="166"/>
    </row>
    <row r="6" spans="1:13" ht="29.25" customHeight="1">
      <c r="A6" s="699" t="s">
        <v>154</v>
      </c>
      <c r="B6" s="914">
        <v>0</v>
      </c>
      <c r="C6" s="906">
        <f>20000*1.21</f>
        <v>24200</v>
      </c>
      <c r="D6" s="904"/>
      <c r="E6" s="166"/>
      <c r="F6" s="166"/>
      <c r="G6" s="166"/>
      <c r="H6" s="166"/>
      <c r="I6" s="166"/>
      <c r="J6" s="166"/>
      <c r="K6" s="166"/>
      <c r="L6" s="166"/>
      <c r="M6" s="166"/>
    </row>
    <row r="7" spans="1:13" ht="102" customHeight="1">
      <c r="A7" s="1519" t="s">
        <v>1093</v>
      </c>
      <c r="B7" s="1519"/>
      <c r="C7" s="1519"/>
      <c r="D7" s="904"/>
      <c r="E7" s="166"/>
      <c r="F7" s="166"/>
      <c r="G7" s="166"/>
      <c r="H7" s="166"/>
      <c r="I7" s="166"/>
      <c r="J7" s="166"/>
      <c r="K7" s="166"/>
      <c r="L7" s="166"/>
      <c r="M7" s="166"/>
    </row>
    <row r="8" spans="1:13">
      <c r="A8" s="1521"/>
      <c r="B8" s="1521"/>
      <c r="C8" s="1521"/>
      <c r="D8" s="166"/>
      <c r="E8" s="166"/>
      <c r="F8" s="166"/>
      <c r="G8" s="166"/>
      <c r="H8" s="166"/>
      <c r="I8" s="166"/>
      <c r="J8" s="166"/>
      <c r="K8" s="166"/>
      <c r="L8" s="166"/>
      <c r="M8" s="166"/>
    </row>
    <row r="9" spans="1:13">
      <c r="A9" s="1520"/>
      <c r="B9" s="1520"/>
      <c r="C9" s="1520"/>
      <c r="D9" s="1520"/>
      <c r="E9" s="1520"/>
      <c r="F9" s="1520"/>
      <c r="G9" s="1520"/>
      <c r="H9" s="1520"/>
      <c r="I9" s="1520"/>
      <c r="J9" s="1520"/>
      <c r="K9" s="1520"/>
      <c r="L9" s="166"/>
      <c r="M9" s="166"/>
    </row>
    <row r="10" spans="1:13" ht="51">
      <c r="A10" s="907"/>
      <c r="B10" s="908" t="s">
        <v>1</v>
      </c>
      <c r="C10" s="908" t="s">
        <v>2</v>
      </c>
      <c r="D10" s="902" t="s">
        <v>3</v>
      </c>
      <c r="E10" s="902" t="s">
        <v>655</v>
      </c>
      <c r="F10" s="902" t="s">
        <v>656</v>
      </c>
      <c r="G10" s="902" t="s">
        <v>657</v>
      </c>
      <c r="H10" s="902" t="s">
        <v>658</v>
      </c>
      <c r="I10" s="902" t="s">
        <v>659</v>
      </c>
      <c r="J10" s="902" t="s">
        <v>660</v>
      </c>
      <c r="K10" s="902" t="s">
        <v>661</v>
      </c>
      <c r="L10" s="166"/>
      <c r="M10" s="166"/>
    </row>
    <row r="11" spans="1:13" ht="15" customHeight="1">
      <c r="A11" s="1544"/>
      <c r="B11" s="1544" t="s">
        <v>154</v>
      </c>
      <c r="C11" s="1546"/>
      <c r="D11" s="1727">
        <v>200</v>
      </c>
      <c r="E11" s="908"/>
      <c r="F11" s="906">
        <v>1</v>
      </c>
      <c r="G11" s="906"/>
      <c r="H11" s="906">
        <f>F11*G11</f>
        <v>0</v>
      </c>
      <c r="I11" s="906">
        <v>21</v>
      </c>
      <c r="J11" s="906">
        <f>G11*1.21</f>
        <v>0</v>
      </c>
      <c r="K11" s="906">
        <f>F11*J11</f>
        <v>0</v>
      </c>
      <c r="L11" s="166"/>
      <c r="M11" s="166"/>
    </row>
    <row r="12" spans="1:13" ht="22.5" customHeight="1">
      <c r="A12" s="1545"/>
      <c r="B12" s="1545"/>
      <c r="C12" s="1547"/>
      <c r="D12" s="1728"/>
      <c r="E12" s="908"/>
      <c r="F12" s="906"/>
      <c r="G12" s="906">
        <v>100</v>
      </c>
      <c r="H12" s="906">
        <f>D11*G12</f>
        <v>20000</v>
      </c>
      <c r="I12" s="906">
        <v>21</v>
      </c>
      <c r="J12" s="906">
        <v>121</v>
      </c>
      <c r="K12" s="906">
        <v>24200</v>
      </c>
      <c r="L12" s="166"/>
      <c r="M12" s="166"/>
    </row>
    <row r="13" spans="1:13">
      <c r="A13" s="487"/>
      <c r="B13" s="487"/>
      <c r="C13" s="487"/>
      <c r="D13" s="487"/>
      <c r="E13" s="487"/>
      <c r="F13" s="487"/>
      <c r="G13" s="487"/>
      <c r="H13" s="912"/>
      <c r="I13" s="487"/>
      <c r="J13" s="912"/>
      <c r="K13" s="906"/>
      <c r="L13" s="166"/>
      <c r="M13" s="166"/>
    </row>
    <row r="14" spans="1:13" ht="75.95" customHeight="1">
      <c r="A14" s="1519" t="s">
        <v>1093</v>
      </c>
      <c r="B14" s="1519"/>
      <c r="C14" s="1519"/>
      <c r="D14" s="1519"/>
      <c r="E14" s="1519"/>
      <c r="F14" s="1519"/>
      <c r="G14" s="1519"/>
      <c r="H14" s="1519"/>
      <c r="I14" s="1519"/>
      <c r="J14" s="1519"/>
      <c r="K14" s="1519"/>
      <c r="L14" s="166"/>
      <c r="M14" s="166"/>
    </row>
  </sheetData>
  <mergeCells count="11">
    <mergeCell ref="A9:K9"/>
    <mergeCell ref="A11:A12"/>
    <mergeCell ref="B11:B12"/>
    <mergeCell ref="C11:C12"/>
    <mergeCell ref="A14:K14"/>
    <mergeCell ref="D11:D12"/>
    <mergeCell ref="A3:C3"/>
    <mergeCell ref="A4:A5"/>
    <mergeCell ref="B4:C4"/>
    <mergeCell ref="A7:C7"/>
    <mergeCell ref="A8:C8"/>
  </mergeCells>
  <pageMargins left="0.7" right="0.7" top="0.75" bottom="0.75" header="0.3" footer="0.3"/>
  <pageSetup paperSize="9" scale="45" orientation="portrait" verticalDpi="300"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M14"/>
  <sheetViews>
    <sheetView view="pageBreakPreview" zoomScaleNormal="100" zoomScaleSheetLayoutView="100" workbookViewId="0">
      <selection activeCell="A3" sqref="A3:A4"/>
    </sheetView>
  </sheetViews>
  <sheetFormatPr defaultColWidth="9.125" defaultRowHeight="12.75"/>
  <cols>
    <col min="1" max="1" width="51.5" style="166" customWidth="1"/>
    <col min="2" max="2" width="29.5" style="166" customWidth="1"/>
    <col min="3" max="3" width="24.25" style="166" customWidth="1"/>
    <col min="4" max="4" width="18.5" style="166" customWidth="1"/>
    <col min="5" max="16384" width="9.125" style="166"/>
  </cols>
  <sheetData>
    <row r="1" spans="1:13">
      <c r="B1" s="900"/>
      <c r="C1" s="900"/>
      <c r="J1" s="166" t="s">
        <v>831</v>
      </c>
    </row>
    <row r="2" spans="1:13" ht="35.25" customHeight="1">
      <c r="A2" s="1520" t="s">
        <v>158</v>
      </c>
      <c r="B2" s="1520"/>
      <c r="C2" s="1520"/>
      <c r="D2" s="901"/>
    </row>
    <row r="3" spans="1:13">
      <c r="A3" s="1476" t="s">
        <v>1</v>
      </c>
      <c r="B3" s="1527" t="s">
        <v>1039</v>
      </c>
      <c r="C3" s="1527"/>
      <c r="D3" s="901"/>
    </row>
    <row r="4" spans="1:13">
      <c r="A4" s="1477"/>
      <c r="B4" s="902" t="s">
        <v>653</v>
      </c>
      <c r="C4" s="903" t="s">
        <v>654</v>
      </c>
      <c r="D4" s="904"/>
    </row>
    <row r="5" spans="1:13" ht="25.5">
      <c r="A5" s="905" t="s">
        <v>677</v>
      </c>
      <c r="B5" s="906">
        <v>0</v>
      </c>
      <c r="C5" s="488">
        <f>15000*1.21</f>
        <v>18150</v>
      </c>
      <c r="D5" s="904"/>
    </row>
    <row r="6" spans="1:13" ht="92.45" customHeight="1">
      <c r="A6" s="1519" t="s">
        <v>1094</v>
      </c>
      <c r="B6" s="1519"/>
      <c r="C6" s="1519"/>
      <c r="D6" s="904"/>
    </row>
    <row r="7" spans="1:13">
      <c r="A7" s="1521"/>
      <c r="B7" s="1521"/>
      <c r="C7" s="1521"/>
    </row>
    <row r="10" spans="1:13">
      <c r="A10" s="1520" t="s">
        <v>158</v>
      </c>
      <c r="B10" s="1520"/>
      <c r="C10" s="1520"/>
      <c r="D10" s="1520"/>
      <c r="E10" s="1520"/>
      <c r="F10" s="1520"/>
      <c r="G10" s="1520"/>
      <c r="H10" s="1520"/>
      <c r="I10" s="1520"/>
      <c r="J10" s="1520"/>
      <c r="K10" s="1520"/>
    </row>
    <row r="11" spans="1:13" ht="51">
      <c r="A11" s="907"/>
      <c r="B11" s="908" t="s">
        <v>1</v>
      </c>
      <c r="C11" s="908" t="s">
        <v>2</v>
      </c>
      <c r="D11" s="902" t="s">
        <v>3</v>
      </c>
      <c r="E11" s="902" t="s">
        <v>655</v>
      </c>
      <c r="F11" s="902" t="s">
        <v>656</v>
      </c>
      <c r="G11" s="902" t="s">
        <v>657</v>
      </c>
      <c r="H11" s="902" t="s">
        <v>658</v>
      </c>
      <c r="I11" s="902" t="s">
        <v>659</v>
      </c>
      <c r="J11" s="902" t="s">
        <v>660</v>
      </c>
      <c r="K11" s="902" t="s">
        <v>661</v>
      </c>
    </row>
    <row r="12" spans="1:13" ht="51">
      <c r="A12" s="909" t="s">
        <v>678</v>
      </c>
      <c r="B12" s="905" t="s">
        <v>677</v>
      </c>
      <c r="C12" s="910"/>
      <c r="D12" s="910"/>
      <c r="E12" s="908" t="s">
        <v>678</v>
      </c>
      <c r="F12" s="906">
        <v>1</v>
      </c>
      <c r="G12" s="906">
        <v>15000</v>
      </c>
      <c r="H12" s="906">
        <f>F12*G12</f>
        <v>15000</v>
      </c>
      <c r="I12" s="906">
        <v>21</v>
      </c>
      <c r="J12" s="906">
        <f>G12*1.21</f>
        <v>18150</v>
      </c>
      <c r="K12" s="906">
        <f>F12*J12</f>
        <v>18150</v>
      </c>
      <c r="M12" s="911"/>
    </row>
    <row r="13" spans="1:13">
      <c r="A13" s="487"/>
      <c r="B13" s="487"/>
      <c r="C13" s="487"/>
      <c r="D13" s="487"/>
      <c r="E13" s="487"/>
      <c r="F13" s="487"/>
      <c r="G13" s="487"/>
      <c r="H13" s="912">
        <f>SUM(H12:H12)</f>
        <v>15000</v>
      </c>
      <c r="I13" s="487"/>
      <c r="J13" s="912"/>
      <c r="K13" s="906">
        <f>SUM(K12:K12)</f>
        <v>18150</v>
      </c>
    </row>
    <row r="14" spans="1:13" ht="55.5" customHeight="1">
      <c r="A14" s="1519" t="s">
        <v>1094</v>
      </c>
      <c r="B14" s="1519"/>
      <c r="C14" s="1519"/>
      <c r="D14" s="1519"/>
      <c r="E14" s="1519"/>
      <c r="F14" s="1519"/>
      <c r="G14" s="1519"/>
      <c r="H14" s="1519"/>
      <c r="I14" s="1519"/>
      <c r="J14" s="1519"/>
      <c r="K14" s="1519"/>
    </row>
  </sheetData>
  <mergeCells count="7">
    <mergeCell ref="A10:K10"/>
    <mergeCell ref="A14:K14"/>
    <mergeCell ref="A2:C2"/>
    <mergeCell ref="A3:A4"/>
    <mergeCell ref="B3:C3"/>
    <mergeCell ref="A6:C6"/>
    <mergeCell ref="A7:C7"/>
  </mergeCells>
  <pageMargins left="0.7" right="0.7" top="0.75" bottom="0.75" header="0.3" footer="0.3"/>
  <pageSetup paperSize="9" scale="44" orientation="portrait" verticalDpi="300" r:id="rId1"/>
</worksheet>
</file>

<file path=docMetadata/LabelInfo.xml><?xml version="1.0" encoding="utf-8"?>
<clbl:labelList xmlns:clbl="http://schemas.microsoft.com/office/2020/mipLabelMetadata">
  <clbl:label id="{171abc8c-0b18-4336-97d7-51d65f5c7f99}" enabled="1" method="Standard" siteId="{dbc9012d-628b-43d4-b190-8a730f7e1e96}"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13</vt:i4>
      </vt:variant>
    </vt:vector>
  </HeadingPairs>
  <TitlesOfParts>
    <vt:vector size="51" baseType="lpstr">
      <vt:lpstr>Kopsavilkums</vt:lpstr>
      <vt:lpstr>1.1.2.</vt:lpstr>
      <vt:lpstr>1.1.5.</vt:lpstr>
      <vt:lpstr>1.1.4.1.</vt:lpstr>
      <vt:lpstr>2.1.2.1.</vt:lpstr>
      <vt:lpstr>2.1.2.2</vt:lpstr>
      <vt:lpstr>2.1.5.1.</vt:lpstr>
      <vt:lpstr>2.1.5.2.</vt:lpstr>
      <vt:lpstr>2.1.5.3.</vt:lpstr>
      <vt:lpstr>2.1.6.1.</vt:lpstr>
      <vt:lpstr>2.1.6.2</vt:lpstr>
      <vt:lpstr>2.1.7.</vt:lpstr>
      <vt:lpstr>2.1.8.</vt:lpstr>
      <vt:lpstr>2.1.9.</vt:lpstr>
      <vt:lpstr>2.2.1.</vt:lpstr>
      <vt:lpstr>2.2.2</vt:lpstr>
      <vt:lpstr>2.2.3.1</vt:lpstr>
      <vt:lpstr>2.2.3.2.</vt:lpstr>
      <vt:lpstr>2.2.3.3</vt:lpstr>
      <vt:lpstr>2.2.4.1.</vt:lpstr>
      <vt:lpstr>2.2.4.2</vt:lpstr>
      <vt:lpstr>2.2.6.</vt:lpstr>
      <vt:lpstr>2.2.7.</vt:lpstr>
      <vt:lpstr>2.3.1.1.-2.3.1.3.,2.3.2.-2.3.5.</vt:lpstr>
      <vt:lpstr>2.4.1</vt:lpstr>
      <vt:lpstr>2.4.3.1.-2.4.3.2.</vt:lpstr>
      <vt:lpstr>2.4.4.</vt:lpstr>
      <vt:lpstr>2.4.5.1. </vt:lpstr>
      <vt:lpstr>2.4.5.2. </vt:lpstr>
      <vt:lpstr>2.4.6</vt:lpstr>
      <vt:lpstr>2.4.7.</vt:lpstr>
      <vt:lpstr>2.6.1</vt:lpstr>
      <vt:lpstr>3.1.1.1.</vt:lpstr>
      <vt:lpstr>3.1.1.2.</vt:lpstr>
      <vt:lpstr>3.1.2.</vt:lpstr>
      <vt:lpstr>3.1.3.</vt:lpstr>
      <vt:lpstr>3.1.4</vt:lpstr>
      <vt:lpstr>3.1.5</vt:lpstr>
      <vt:lpstr>_Hlk199328070</vt:lpstr>
      <vt:lpstr>_Hlk200019317</vt:lpstr>
      <vt:lpstr>_Hlk200028924</vt:lpstr>
      <vt:lpstr>_msoanchor_1</vt:lpstr>
      <vt:lpstr>'1.1.5.'!Print_Area</vt:lpstr>
      <vt:lpstr>'2.1.5.2.'!Print_Area</vt:lpstr>
      <vt:lpstr>'2.1.8.'!Print_Area</vt:lpstr>
      <vt:lpstr>'2.2.1.'!Print_Area</vt:lpstr>
      <vt:lpstr>'2.3.1.1.-2.3.1.3.,2.3.2.-2.3.5.'!Print_Area</vt:lpstr>
      <vt:lpstr>'2.4.3.1.-2.4.3.2.'!Print_Area</vt:lpstr>
      <vt:lpstr>'2.4.4.'!Print_Area</vt:lpstr>
      <vt:lpstr>'2.4.5.1. '!Print_Area</vt:lpstr>
      <vt:lpstr>'2.4.5.2. '!Print_Area</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Kitija Krastiņa</dc:creator>
  <cp:keywords/>
  <dc:description/>
  <cp:lastModifiedBy>Uldis Ervalds</cp:lastModifiedBy>
  <cp:revision/>
  <cp:lastPrinted>2025-10-06T13:36:19Z</cp:lastPrinted>
  <dcterms:created xsi:type="dcterms:W3CDTF">2025-02-17T12:40:18Z</dcterms:created>
  <dcterms:modified xsi:type="dcterms:W3CDTF">2026-03-19T10:15:06Z</dcterms:modified>
  <cp:category/>
  <cp:contentStatus/>
</cp:coreProperties>
</file>