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ita.djadela\Desktop\likumi\"/>
    </mc:Choice>
  </mc:AlternateContent>
  <xr:revisionPtr revIDLastSave="0" documentId="13_ncr:1_{0257779F-F2DC-463A-923B-C92EE6AB427F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1.pielikums" sheetId="4" r:id="rId1"/>
    <sheet name="2.pielikums" sheetId="3" r:id="rId2"/>
    <sheet name="3.pielikums" sheetId="2" r:id="rId3"/>
    <sheet name="4.pielikums" sheetId="1" r:id="rId4"/>
  </sheets>
  <definedNames>
    <definedName name="_xlnm._FilterDatabase" localSheetId="3" hidden="1">'4.pielikums'!$A$10:$O$293</definedName>
    <definedName name="_xlnm.Print_Area" localSheetId="3">'4.pielikums'!$A$1:$O$297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93" i="1" l="1"/>
  <c r="O293" i="1"/>
  <c r="N293" i="1"/>
  <c r="M293" i="1"/>
  <c r="L293" i="1"/>
  <c r="K293" i="1"/>
  <c r="J293" i="1"/>
  <c r="G293" i="1"/>
  <c r="F292" i="1"/>
  <c r="C292" i="1"/>
  <c r="B292" i="1" s="1"/>
  <c r="F291" i="1"/>
  <c r="C291" i="1"/>
  <c r="B291" i="1" s="1"/>
  <c r="F290" i="1"/>
  <c r="C290" i="1"/>
  <c r="B290" i="1" s="1"/>
  <c r="F289" i="1"/>
  <c r="C289" i="1"/>
  <c r="B289" i="1"/>
  <c r="F288" i="1"/>
  <c r="C288" i="1"/>
  <c r="B288" i="1" s="1"/>
  <c r="F287" i="1"/>
  <c r="C287" i="1"/>
  <c r="F286" i="1"/>
  <c r="C286" i="1"/>
  <c r="B286" i="1" s="1"/>
  <c r="F285" i="1"/>
  <c r="C285" i="1"/>
  <c r="B285" i="1"/>
  <c r="F284" i="1"/>
  <c r="C284" i="1"/>
  <c r="B284" i="1" s="1"/>
  <c r="F283" i="1"/>
  <c r="C283" i="1"/>
  <c r="B283" i="1" s="1"/>
  <c r="F282" i="1"/>
  <c r="C282" i="1"/>
  <c r="B282" i="1" s="1"/>
  <c r="F281" i="1"/>
  <c r="C281" i="1"/>
  <c r="B281" i="1"/>
  <c r="F280" i="1"/>
  <c r="C280" i="1"/>
  <c r="B280" i="1" s="1"/>
  <c r="F279" i="1"/>
  <c r="C279" i="1"/>
  <c r="F278" i="1"/>
  <c r="C278" i="1"/>
  <c r="B278" i="1" s="1"/>
  <c r="F277" i="1"/>
  <c r="C277" i="1"/>
  <c r="B277" i="1"/>
  <c r="F276" i="1"/>
  <c r="C276" i="1"/>
  <c r="B276" i="1" s="1"/>
  <c r="F275" i="1"/>
  <c r="C275" i="1"/>
  <c r="F274" i="1"/>
  <c r="C274" i="1"/>
  <c r="B274" i="1" s="1"/>
  <c r="F273" i="1"/>
  <c r="C273" i="1"/>
  <c r="B273" i="1"/>
  <c r="F272" i="1"/>
  <c r="C272" i="1"/>
  <c r="B272" i="1" s="1"/>
  <c r="F271" i="1"/>
  <c r="C271" i="1"/>
  <c r="F270" i="1"/>
  <c r="C270" i="1"/>
  <c r="B270" i="1" s="1"/>
  <c r="F269" i="1"/>
  <c r="C269" i="1"/>
  <c r="B269" i="1"/>
  <c r="F268" i="1"/>
  <c r="C268" i="1"/>
  <c r="B268" i="1" s="1"/>
  <c r="F267" i="1"/>
  <c r="C267" i="1"/>
  <c r="B267" i="1" s="1"/>
  <c r="F266" i="1"/>
  <c r="C266" i="1"/>
  <c r="B266" i="1" s="1"/>
  <c r="F265" i="1"/>
  <c r="C265" i="1"/>
  <c r="B265" i="1"/>
  <c r="F264" i="1"/>
  <c r="C264" i="1"/>
  <c r="B264" i="1" s="1"/>
  <c r="F263" i="1"/>
  <c r="C263" i="1"/>
  <c r="B262" i="1"/>
  <c r="F261" i="1"/>
  <c r="C261" i="1"/>
  <c r="B261" i="1" s="1"/>
  <c r="F260" i="1"/>
  <c r="C260" i="1"/>
  <c r="B260" i="1" s="1"/>
  <c r="F259" i="1"/>
  <c r="C259" i="1"/>
  <c r="B259" i="1"/>
  <c r="F258" i="1"/>
  <c r="C258" i="1"/>
  <c r="B258" i="1" s="1"/>
  <c r="F257" i="1"/>
  <c r="C257" i="1"/>
  <c r="F256" i="1"/>
  <c r="C256" i="1"/>
  <c r="B256" i="1" s="1"/>
  <c r="F255" i="1"/>
  <c r="C255" i="1"/>
  <c r="B255" i="1"/>
  <c r="F254" i="1"/>
  <c r="C254" i="1"/>
  <c r="B254" i="1" s="1"/>
  <c r="F253" i="1"/>
  <c r="C253" i="1"/>
  <c r="B253" i="1" s="1"/>
  <c r="F252" i="1"/>
  <c r="C252" i="1"/>
  <c r="B252" i="1" s="1"/>
  <c r="H251" i="1"/>
  <c r="F251" i="1" s="1"/>
  <c r="C251" i="1"/>
  <c r="B251" i="1" s="1"/>
  <c r="F250" i="1"/>
  <c r="C250" i="1"/>
  <c r="B250" i="1"/>
  <c r="F249" i="1"/>
  <c r="C249" i="1"/>
  <c r="B249" i="1" s="1"/>
  <c r="F248" i="1"/>
  <c r="C248" i="1"/>
  <c r="F247" i="1"/>
  <c r="C247" i="1"/>
  <c r="B247" i="1" s="1"/>
  <c r="F246" i="1"/>
  <c r="C246" i="1"/>
  <c r="B246" i="1"/>
  <c r="F245" i="1"/>
  <c r="C245" i="1"/>
  <c r="B245" i="1" s="1"/>
  <c r="F244" i="1"/>
  <c r="C244" i="1"/>
  <c r="B244" i="1" s="1"/>
  <c r="F243" i="1"/>
  <c r="C243" i="1"/>
  <c r="B243" i="1" s="1"/>
  <c r="F242" i="1"/>
  <c r="C242" i="1"/>
  <c r="B242" i="1"/>
  <c r="F241" i="1"/>
  <c r="C241" i="1"/>
  <c r="B241" i="1" s="1"/>
  <c r="F240" i="1"/>
  <c r="C240" i="1"/>
  <c r="F239" i="1"/>
  <c r="C239" i="1"/>
  <c r="B239" i="1" s="1"/>
  <c r="F238" i="1"/>
  <c r="C238" i="1"/>
  <c r="B238" i="1"/>
  <c r="F237" i="1"/>
  <c r="C237" i="1"/>
  <c r="B237" i="1" s="1"/>
  <c r="F236" i="1"/>
  <c r="C236" i="1"/>
  <c r="B236" i="1" s="1"/>
  <c r="F235" i="1"/>
  <c r="C235" i="1"/>
  <c r="B235" i="1" s="1"/>
  <c r="F234" i="1"/>
  <c r="C234" i="1"/>
  <c r="B234" i="1"/>
  <c r="F233" i="1"/>
  <c r="C233" i="1"/>
  <c r="B233" i="1" s="1"/>
  <c r="F232" i="1"/>
  <c r="C232" i="1"/>
  <c r="F231" i="1"/>
  <c r="C231" i="1"/>
  <c r="B231" i="1" s="1"/>
  <c r="F230" i="1"/>
  <c r="C230" i="1"/>
  <c r="B230" i="1"/>
  <c r="F229" i="1"/>
  <c r="C229" i="1"/>
  <c r="B229" i="1" s="1"/>
  <c r="F228" i="1"/>
  <c r="C228" i="1"/>
  <c r="B228" i="1" s="1"/>
  <c r="F227" i="1"/>
  <c r="C227" i="1"/>
  <c r="B227" i="1" s="1"/>
  <c r="F226" i="1"/>
  <c r="C226" i="1"/>
  <c r="B226" i="1"/>
  <c r="F225" i="1"/>
  <c r="C225" i="1"/>
  <c r="B225" i="1" s="1"/>
  <c r="F224" i="1"/>
  <c r="C224" i="1"/>
  <c r="F223" i="1"/>
  <c r="C223" i="1"/>
  <c r="B223" i="1" s="1"/>
  <c r="F222" i="1"/>
  <c r="C222" i="1"/>
  <c r="B222" i="1"/>
  <c r="F221" i="1"/>
  <c r="C221" i="1"/>
  <c r="B221" i="1" s="1"/>
  <c r="F220" i="1"/>
  <c r="C220" i="1"/>
  <c r="B220" i="1" s="1"/>
  <c r="F219" i="1"/>
  <c r="C219" i="1"/>
  <c r="B219" i="1" s="1"/>
  <c r="F218" i="1"/>
  <c r="C218" i="1"/>
  <c r="B218" i="1"/>
  <c r="F217" i="1"/>
  <c r="C217" i="1"/>
  <c r="B217" i="1" s="1"/>
  <c r="F216" i="1"/>
  <c r="C216" i="1"/>
  <c r="F215" i="1"/>
  <c r="C215" i="1"/>
  <c r="B215" i="1" s="1"/>
  <c r="F214" i="1"/>
  <c r="E214" i="1"/>
  <c r="D214" i="1"/>
  <c r="C214" i="1" s="1"/>
  <c r="B214" i="1" s="1"/>
  <c r="F213" i="1"/>
  <c r="C213" i="1"/>
  <c r="B213" i="1" s="1"/>
  <c r="I212" i="1"/>
  <c r="I293" i="1" s="1"/>
  <c r="E212" i="1"/>
  <c r="D212" i="1"/>
  <c r="F211" i="1"/>
  <c r="E211" i="1"/>
  <c r="D211" i="1"/>
  <c r="C211" i="1" s="1"/>
  <c r="B211" i="1" s="1"/>
  <c r="H250" i="2" s="1"/>
  <c r="F210" i="1"/>
  <c r="E210" i="1"/>
  <c r="D210" i="1"/>
  <c r="C210" i="1"/>
  <c r="B210" i="1" s="1"/>
  <c r="F209" i="1"/>
  <c r="E209" i="1"/>
  <c r="D209" i="1"/>
  <c r="C209" i="1" s="1"/>
  <c r="B209" i="1" s="1"/>
  <c r="F208" i="1"/>
  <c r="E208" i="1"/>
  <c r="D208" i="1"/>
  <c r="F207" i="1"/>
  <c r="E207" i="1"/>
  <c r="D207" i="1"/>
  <c r="C207" i="1" s="1"/>
  <c r="B207" i="1" s="1"/>
  <c r="H245" i="2" s="1"/>
  <c r="D245" i="2" s="1"/>
  <c r="F206" i="1"/>
  <c r="E206" i="1"/>
  <c r="D206" i="1"/>
  <c r="C206" i="1"/>
  <c r="B206" i="1" s="1"/>
  <c r="F205" i="1"/>
  <c r="E205" i="1"/>
  <c r="D205" i="1"/>
  <c r="C205" i="1" s="1"/>
  <c r="B205" i="1" s="1"/>
  <c r="F204" i="1"/>
  <c r="E204" i="1"/>
  <c r="D204" i="1"/>
  <c r="F203" i="1"/>
  <c r="E203" i="1"/>
  <c r="D203" i="1"/>
  <c r="C203" i="1" s="1"/>
  <c r="B203" i="1" s="1"/>
  <c r="H240" i="2" s="1"/>
  <c r="D240" i="2" s="1"/>
  <c r="F202" i="1"/>
  <c r="E202" i="1"/>
  <c r="D202" i="1"/>
  <c r="C202" i="1"/>
  <c r="B202" i="1" s="1"/>
  <c r="F201" i="1"/>
  <c r="E201" i="1"/>
  <c r="D201" i="1"/>
  <c r="C201" i="1" s="1"/>
  <c r="B201" i="1" s="1"/>
  <c r="F200" i="1"/>
  <c r="E200" i="1"/>
  <c r="D200" i="1"/>
  <c r="F199" i="1"/>
  <c r="E199" i="1"/>
  <c r="D199" i="1"/>
  <c r="C199" i="1" s="1"/>
  <c r="B199" i="1" s="1"/>
  <c r="H236" i="2" s="1"/>
  <c r="F198" i="1"/>
  <c r="E198" i="1"/>
  <c r="D198" i="1"/>
  <c r="C198" i="1"/>
  <c r="B198" i="1" s="1"/>
  <c r="F197" i="1"/>
  <c r="C197" i="1"/>
  <c r="B197" i="1"/>
  <c r="F196" i="1"/>
  <c r="E196" i="1"/>
  <c r="D196" i="1"/>
  <c r="C196" i="1"/>
  <c r="B196" i="1" s="1"/>
  <c r="F195" i="1"/>
  <c r="E195" i="1"/>
  <c r="D195" i="1"/>
  <c r="C195" i="1" s="1"/>
  <c r="B195" i="1" s="1"/>
  <c r="F194" i="1"/>
  <c r="E194" i="1"/>
  <c r="D194" i="1"/>
  <c r="C194" i="1" s="1"/>
  <c r="B194" i="1" s="1"/>
  <c r="F193" i="1"/>
  <c r="E193" i="1"/>
  <c r="D193" i="1"/>
  <c r="C193" i="1" s="1"/>
  <c r="B193" i="1"/>
  <c r="F192" i="1"/>
  <c r="E192" i="1"/>
  <c r="D192" i="1"/>
  <c r="C192" i="1"/>
  <c r="B192" i="1" s="1"/>
  <c r="F191" i="1"/>
  <c r="C191" i="1"/>
  <c r="B191" i="1"/>
  <c r="F190" i="1"/>
  <c r="C190" i="1"/>
  <c r="B190" i="1" s="1"/>
  <c r="F189" i="1"/>
  <c r="C189" i="1"/>
  <c r="F188" i="1"/>
  <c r="C188" i="1"/>
  <c r="B188" i="1" s="1"/>
  <c r="F187" i="1"/>
  <c r="C187" i="1"/>
  <c r="B187" i="1"/>
  <c r="F186" i="1"/>
  <c r="D186" i="1"/>
  <c r="C186" i="1" s="1"/>
  <c r="B186" i="1" s="1"/>
  <c r="H216" i="2" s="1"/>
  <c r="D216" i="2" s="1"/>
  <c r="F185" i="1"/>
  <c r="C185" i="1"/>
  <c r="B185" i="1" s="1"/>
  <c r="F184" i="1"/>
  <c r="C184" i="1"/>
  <c r="F183" i="1"/>
  <c r="E183" i="1"/>
  <c r="D183" i="1"/>
  <c r="C183" i="1" s="1"/>
  <c r="B183" i="1" s="1"/>
  <c r="F182" i="1"/>
  <c r="C182" i="1"/>
  <c r="B182" i="1" s="1"/>
  <c r="F181" i="1"/>
  <c r="C181" i="1"/>
  <c r="B181" i="1" s="1"/>
  <c r="F180" i="1"/>
  <c r="C180" i="1"/>
  <c r="B180" i="1"/>
  <c r="F179" i="1"/>
  <c r="C179" i="1"/>
  <c r="B179" i="1" s="1"/>
  <c r="F178" i="1"/>
  <c r="C178" i="1"/>
  <c r="F177" i="1"/>
  <c r="C177" i="1"/>
  <c r="B177" i="1" s="1"/>
  <c r="F176" i="1"/>
  <c r="C176" i="1"/>
  <c r="B176" i="1"/>
  <c r="F175" i="1"/>
  <c r="C175" i="1"/>
  <c r="B175" i="1" s="1"/>
  <c r="F174" i="1"/>
  <c r="C174" i="1"/>
  <c r="B174" i="1" s="1"/>
  <c r="F173" i="1"/>
  <c r="C173" i="1"/>
  <c r="B173" i="1" s="1"/>
  <c r="F172" i="1"/>
  <c r="C172" i="1"/>
  <c r="B172" i="1"/>
  <c r="F171" i="1"/>
  <c r="C171" i="1"/>
  <c r="B171" i="1" s="1"/>
  <c r="F170" i="1"/>
  <c r="C170" i="1"/>
  <c r="F169" i="1"/>
  <c r="C169" i="1"/>
  <c r="B169" i="1" s="1"/>
  <c r="F168" i="1"/>
  <c r="C168" i="1"/>
  <c r="B168" i="1"/>
  <c r="F167" i="1"/>
  <c r="E167" i="1"/>
  <c r="D167" i="1"/>
  <c r="C167" i="1"/>
  <c r="B167" i="1" s="1"/>
  <c r="F166" i="1"/>
  <c r="C166" i="1"/>
  <c r="B166" i="1"/>
  <c r="F165" i="1"/>
  <c r="C165" i="1"/>
  <c r="B165" i="1" s="1"/>
  <c r="F164" i="1"/>
  <c r="C164" i="1"/>
  <c r="F163" i="1"/>
  <c r="C163" i="1"/>
  <c r="B163" i="1" s="1"/>
  <c r="F162" i="1"/>
  <c r="C162" i="1"/>
  <c r="B162" i="1"/>
  <c r="F161" i="1"/>
  <c r="C161" i="1"/>
  <c r="B161" i="1" s="1"/>
  <c r="F160" i="1"/>
  <c r="C160" i="1"/>
  <c r="B160" i="1" s="1"/>
  <c r="F159" i="1"/>
  <c r="C159" i="1"/>
  <c r="B159" i="1" s="1"/>
  <c r="F158" i="1"/>
  <c r="C158" i="1"/>
  <c r="B158" i="1"/>
  <c r="F157" i="1"/>
  <c r="C157" i="1"/>
  <c r="B157" i="1" s="1"/>
  <c r="F156" i="1"/>
  <c r="E156" i="1"/>
  <c r="C156" i="1" s="1"/>
  <c r="F155" i="1"/>
  <c r="E155" i="1"/>
  <c r="C155" i="1" s="1"/>
  <c r="F154" i="1"/>
  <c r="E154" i="1"/>
  <c r="C154" i="1" s="1"/>
  <c r="F153" i="1"/>
  <c r="E153" i="1"/>
  <c r="C153" i="1" s="1"/>
  <c r="F152" i="1"/>
  <c r="E152" i="1"/>
  <c r="C152" i="1" s="1"/>
  <c r="F151" i="1"/>
  <c r="E151" i="1"/>
  <c r="C151" i="1" s="1"/>
  <c r="F150" i="1"/>
  <c r="E150" i="1"/>
  <c r="C150" i="1" s="1"/>
  <c r="F149" i="1"/>
  <c r="E149" i="1"/>
  <c r="C149" i="1" s="1"/>
  <c r="F148" i="1"/>
  <c r="C148" i="1"/>
  <c r="F147" i="1"/>
  <c r="C147" i="1"/>
  <c r="B147" i="1" s="1"/>
  <c r="F146" i="1"/>
  <c r="C146" i="1"/>
  <c r="B146" i="1"/>
  <c r="F145" i="1"/>
  <c r="C145" i="1"/>
  <c r="B145" i="1" s="1"/>
  <c r="F144" i="1"/>
  <c r="C144" i="1"/>
  <c r="B144" i="1" s="1"/>
  <c r="F143" i="1"/>
  <c r="C143" i="1"/>
  <c r="B143" i="1" s="1"/>
  <c r="F142" i="1"/>
  <c r="C142" i="1"/>
  <c r="B142" i="1"/>
  <c r="F141" i="1"/>
  <c r="C141" i="1"/>
  <c r="B141" i="1" s="1"/>
  <c r="F140" i="1"/>
  <c r="C140" i="1"/>
  <c r="F139" i="1"/>
  <c r="C139" i="1"/>
  <c r="B139" i="1" s="1"/>
  <c r="F138" i="1"/>
  <c r="C138" i="1"/>
  <c r="B138" i="1"/>
  <c r="F137" i="1"/>
  <c r="C137" i="1"/>
  <c r="B137" i="1" s="1"/>
  <c r="F136" i="1"/>
  <c r="C136" i="1"/>
  <c r="B136" i="1" s="1"/>
  <c r="F135" i="1"/>
  <c r="C135" i="1"/>
  <c r="B135" i="1" s="1"/>
  <c r="F134" i="1"/>
  <c r="C134" i="1"/>
  <c r="B134" i="1"/>
  <c r="F133" i="1"/>
  <c r="C133" i="1"/>
  <c r="B133" i="1" s="1"/>
  <c r="F132" i="1"/>
  <c r="C132" i="1"/>
  <c r="F131" i="1"/>
  <c r="C131" i="1"/>
  <c r="B131" i="1" s="1"/>
  <c r="F130" i="1"/>
  <c r="C130" i="1"/>
  <c r="B130" i="1"/>
  <c r="F129" i="1"/>
  <c r="C129" i="1"/>
  <c r="B129" i="1" s="1"/>
  <c r="F128" i="1"/>
  <c r="C128" i="1"/>
  <c r="B128" i="1" s="1"/>
  <c r="F127" i="1"/>
  <c r="C127" i="1"/>
  <c r="B127" i="1" s="1"/>
  <c r="F126" i="1"/>
  <c r="C126" i="1"/>
  <c r="B126" i="1"/>
  <c r="F125" i="1"/>
  <c r="C125" i="1"/>
  <c r="B125" i="1" s="1"/>
  <c r="F124" i="1"/>
  <c r="C124" i="1"/>
  <c r="F123" i="1"/>
  <c r="C123" i="1"/>
  <c r="B123" i="1" s="1"/>
  <c r="F122" i="1"/>
  <c r="C122" i="1"/>
  <c r="B122" i="1"/>
  <c r="F121" i="1"/>
  <c r="C121" i="1"/>
  <c r="B121" i="1" s="1"/>
  <c r="F120" i="1"/>
  <c r="C120" i="1"/>
  <c r="B120" i="1" s="1"/>
  <c r="F119" i="1"/>
  <c r="C119" i="1"/>
  <c r="B119" i="1" s="1"/>
  <c r="F118" i="1"/>
  <c r="C118" i="1"/>
  <c r="B118" i="1"/>
  <c r="F117" i="1"/>
  <c r="C117" i="1"/>
  <c r="F116" i="1"/>
  <c r="C116" i="1"/>
  <c r="F115" i="1"/>
  <c r="C115" i="1"/>
  <c r="B115" i="1"/>
  <c r="F114" i="1"/>
  <c r="C114" i="1"/>
  <c r="B114" i="1"/>
  <c r="F113" i="1"/>
  <c r="C113" i="1"/>
  <c r="F112" i="1"/>
  <c r="C112" i="1"/>
  <c r="F111" i="1"/>
  <c r="C111" i="1"/>
  <c r="B111" i="1"/>
  <c r="F110" i="1"/>
  <c r="C110" i="1"/>
  <c r="B110" i="1"/>
  <c r="F109" i="1"/>
  <c r="C109" i="1"/>
  <c r="F108" i="1"/>
  <c r="C108" i="1"/>
  <c r="F107" i="1"/>
  <c r="C107" i="1"/>
  <c r="B107" i="1"/>
  <c r="F106" i="1"/>
  <c r="C106" i="1"/>
  <c r="B106" i="1"/>
  <c r="F105" i="1"/>
  <c r="C105" i="1"/>
  <c r="F104" i="1"/>
  <c r="B104" i="1" s="1"/>
  <c r="C104" i="1"/>
  <c r="F103" i="1"/>
  <c r="C103" i="1"/>
  <c r="B103" i="1" s="1"/>
  <c r="H120" i="2" s="1"/>
  <c r="F102" i="1"/>
  <c r="E102" i="1"/>
  <c r="D102" i="1"/>
  <c r="C102" i="1" s="1"/>
  <c r="B102" i="1" s="1"/>
  <c r="F101" i="1"/>
  <c r="C101" i="1"/>
  <c r="B101" i="1" s="1"/>
  <c r="H118" i="2" s="1"/>
  <c r="F100" i="1"/>
  <c r="C100" i="1"/>
  <c r="B100" i="1"/>
  <c r="F99" i="1"/>
  <c r="C99" i="1"/>
  <c r="B99" i="1" s="1"/>
  <c r="F98" i="1"/>
  <c r="C98" i="1"/>
  <c r="B98" i="1" s="1"/>
  <c r="F97" i="1"/>
  <c r="C97" i="1"/>
  <c r="B97" i="1"/>
  <c r="F96" i="1"/>
  <c r="C96" i="1"/>
  <c r="B96" i="1"/>
  <c r="F95" i="1"/>
  <c r="C95" i="1"/>
  <c r="F94" i="1"/>
  <c r="E94" i="1"/>
  <c r="D94" i="1"/>
  <c r="C94" i="1" s="1"/>
  <c r="B94" i="1" s="1"/>
  <c r="F93" i="1"/>
  <c r="C93" i="1"/>
  <c r="F92" i="1"/>
  <c r="B92" i="1" s="1"/>
  <c r="C92" i="1"/>
  <c r="F91" i="1"/>
  <c r="C91" i="1"/>
  <c r="B91" i="1" s="1"/>
  <c r="H108" i="2" s="1"/>
  <c r="F90" i="1"/>
  <c r="C90" i="1"/>
  <c r="B90" i="1"/>
  <c r="F89" i="1"/>
  <c r="C89" i="1"/>
  <c r="B89" i="1" s="1"/>
  <c r="F88" i="1"/>
  <c r="C88" i="1"/>
  <c r="B88" i="1" s="1"/>
  <c r="H105" i="2" s="1"/>
  <c r="D105" i="2" s="1"/>
  <c r="F87" i="1"/>
  <c r="C87" i="1"/>
  <c r="B87" i="1"/>
  <c r="F86" i="1"/>
  <c r="C86" i="1"/>
  <c r="B86" i="1"/>
  <c r="F85" i="1"/>
  <c r="C85" i="1"/>
  <c r="F84" i="1"/>
  <c r="C84" i="1"/>
  <c r="B84" i="1"/>
  <c r="F83" i="1"/>
  <c r="C83" i="1"/>
  <c r="B83" i="1" s="1"/>
  <c r="F82" i="1"/>
  <c r="B82" i="1" s="1"/>
  <c r="C82" i="1"/>
  <c r="F81" i="1"/>
  <c r="C81" i="1"/>
  <c r="B81" i="1" s="1"/>
  <c r="F80" i="1"/>
  <c r="C80" i="1"/>
  <c r="B80" i="1" s="1"/>
  <c r="H95" i="2" s="1"/>
  <c r="F79" i="1"/>
  <c r="C79" i="1"/>
  <c r="B79" i="1"/>
  <c r="F78" i="1"/>
  <c r="B78" i="1" s="1"/>
  <c r="H87" i="2" s="1"/>
  <c r="C78" i="1"/>
  <c r="F77" i="1"/>
  <c r="C77" i="1"/>
  <c r="F76" i="1"/>
  <c r="B76" i="1" s="1"/>
  <c r="H85" i="2" s="1"/>
  <c r="C76" i="1"/>
  <c r="F75" i="1"/>
  <c r="C75" i="1"/>
  <c r="B75" i="1" s="1"/>
  <c r="F74" i="1"/>
  <c r="C74" i="1"/>
  <c r="B74" i="1"/>
  <c r="F73" i="1"/>
  <c r="C73" i="1"/>
  <c r="B73" i="1" s="1"/>
  <c r="F72" i="1"/>
  <c r="C72" i="1"/>
  <c r="B72" i="1" s="1"/>
  <c r="H81" i="2" s="1"/>
  <c r="F71" i="1"/>
  <c r="C71" i="1"/>
  <c r="B71" i="1"/>
  <c r="F70" i="1"/>
  <c r="C70" i="1"/>
  <c r="B70" i="1"/>
  <c r="F69" i="1"/>
  <c r="C69" i="1"/>
  <c r="F68" i="1"/>
  <c r="C68" i="1"/>
  <c r="B68" i="1"/>
  <c r="F67" i="1"/>
  <c r="C67" i="1"/>
  <c r="B67" i="1" s="1"/>
  <c r="F66" i="1"/>
  <c r="B66" i="1" s="1"/>
  <c r="H75" i="2" s="1"/>
  <c r="C66" i="1"/>
  <c r="F65" i="1"/>
  <c r="C65" i="1"/>
  <c r="B65" i="1" s="1"/>
  <c r="F64" i="1"/>
  <c r="C64" i="1"/>
  <c r="B64" i="1" s="1"/>
  <c r="H73" i="2" s="1"/>
  <c r="F63" i="1"/>
  <c r="C63" i="1"/>
  <c r="B63" i="1"/>
  <c r="F62" i="1"/>
  <c r="B62" i="1" s="1"/>
  <c r="H71" i="2" s="1"/>
  <c r="C62" i="1"/>
  <c r="F61" i="1"/>
  <c r="C61" i="1"/>
  <c r="F60" i="1"/>
  <c r="B60" i="1" s="1"/>
  <c r="H69" i="2" s="1"/>
  <c r="C60" i="1"/>
  <c r="H59" i="1"/>
  <c r="H293" i="1" s="1"/>
  <c r="F59" i="1"/>
  <c r="B59" i="1" s="1"/>
  <c r="C59" i="1"/>
  <c r="F58" i="1"/>
  <c r="C58" i="1"/>
  <c r="B58" i="1" s="1"/>
  <c r="H61" i="2" s="1"/>
  <c r="F57" i="1"/>
  <c r="C57" i="1"/>
  <c r="B57" i="1"/>
  <c r="F56" i="1"/>
  <c r="C56" i="1"/>
  <c r="B56" i="1" s="1"/>
  <c r="F55" i="1"/>
  <c r="C55" i="1"/>
  <c r="B55" i="1" s="1"/>
  <c r="F54" i="1"/>
  <c r="C54" i="1"/>
  <c r="B54" i="1"/>
  <c r="F53" i="1"/>
  <c r="C53" i="1"/>
  <c r="B53" i="1"/>
  <c r="F52" i="1"/>
  <c r="C52" i="1"/>
  <c r="F51" i="1"/>
  <c r="C51" i="1"/>
  <c r="B51" i="1"/>
  <c r="F50" i="1"/>
  <c r="C50" i="1"/>
  <c r="B50" i="1"/>
  <c r="F49" i="1"/>
  <c r="B49" i="1" s="1"/>
  <c r="C49" i="1"/>
  <c r="F48" i="1"/>
  <c r="C48" i="1"/>
  <c r="B48" i="1" s="1"/>
  <c r="F47" i="1"/>
  <c r="C47" i="1"/>
  <c r="B47" i="1"/>
  <c r="F46" i="1"/>
  <c r="C46" i="1"/>
  <c r="B46" i="1"/>
  <c r="F45" i="1"/>
  <c r="B45" i="1" s="1"/>
  <c r="C45" i="1"/>
  <c r="F44" i="1"/>
  <c r="C44" i="1"/>
  <c r="B44" i="1" s="1"/>
  <c r="F43" i="1"/>
  <c r="B43" i="1" s="1"/>
  <c r="C43" i="1"/>
  <c r="F42" i="1"/>
  <c r="C42" i="1"/>
  <c r="B42" i="1" s="1"/>
  <c r="F41" i="1"/>
  <c r="C41" i="1"/>
  <c r="B41" i="1"/>
  <c r="F40" i="1"/>
  <c r="C40" i="1"/>
  <c r="B40" i="1" s="1"/>
  <c r="F39" i="1"/>
  <c r="C39" i="1"/>
  <c r="B39" i="1" s="1"/>
  <c r="F38" i="1"/>
  <c r="C38" i="1"/>
  <c r="B38" i="1"/>
  <c r="F37" i="1"/>
  <c r="C37" i="1"/>
  <c r="B37" i="1"/>
  <c r="F36" i="1"/>
  <c r="C36" i="1"/>
  <c r="F35" i="1"/>
  <c r="C35" i="1"/>
  <c r="B35" i="1"/>
  <c r="F34" i="1"/>
  <c r="C34" i="1"/>
  <c r="B34" i="1"/>
  <c r="F33" i="1"/>
  <c r="B33" i="1" s="1"/>
  <c r="C33" i="1"/>
  <c r="F32" i="1"/>
  <c r="C32" i="1"/>
  <c r="B32" i="1" s="1"/>
  <c r="F31" i="1"/>
  <c r="C31" i="1"/>
  <c r="B31" i="1"/>
  <c r="F30" i="1"/>
  <c r="C30" i="1"/>
  <c r="B30" i="1"/>
  <c r="F29" i="1"/>
  <c r="B29" i="1" s="1"/>
  <c r="C29" i="1"/>
  <c r="F28" i="1"/>
  <c r="C28" i="1"/>
  <c r="B28" i="1" s="1"/>
  <c r="F27" i="1"/>
  <c r="B27" i="1" s="1"/>
  <c r="C27" i="1"/>
  <c r="F26" i="1"/>
  <c r="C26" i="1"/>
  <c r="B26" i="1" s="1"/>
  <c r="F25" i="1"/>
  <c r="C25" i="1"/>
  <c r="B25" i="1"/>
  <c r="F24" i="1"/>
  <c r="C24" i="1"/>
  <c r="B24" i="1" s="1"/>
  <c r="F23" i="1"/>
  <c r="C23" i="1"/>
  <c r="B23" i="1" s="1"/>
  <c r="F22" i="1"/>
  <c r="C22" i="1"/>
  <c r="B22" i="1"/>
  <c r="F21" i="1"/>
  <c r="C21" i="1"/>
  <c r="B21" i="1"/>
  <c r="F20" i="1"/>
  <c r="E20" i="1"/>
  <c r="E293" i="1" s="1"/>
  <c r="D20" i="1"/>
  <c r="D293" i="1" s="1"/>
  <c r="C20" i="1"/>
  <c r="B20" i="1"/>
  <c r="F19" i="1"/>
  <c r="C19" i="1"/>
  <c r="B19" i="1"/>
  <c r="F18" i="1"/>
  <c r="C18" i="1"/>
  <c r="F17" i="1"/>
  <c r="C17" i="1"/>
  <c r="B17" i="1"/>
  <c r="F16" i="1"/>
  <c r="C16" i="1"/>
  <c r="B16" i="1"/>
  <c r="F15" i="1"/>
  <c r="B15" i="1" s="1"/>
  <c r="C15" i="1"/>
  <c r="F14" i="1"/>
  <c r="C14" i="1"/>
  <c r="B14" i="1" s="1"/>
  <c r="F13" i="1"/>
  <c r="C13" i="1"/>
  <c r="H311" i="2"/>
  <c r="D311" i="2" s="1"/>
  <c r="H309" i="2"/>
  <c r="D309" i="2"/>
  <c r="H308" i="2"/>
  <c r="D308" i="2" s="1"/>
  <c r="H307" i="2"/>
  <c r="D307" i="2"/>
  <c r="H306" i="2"/>
  <c r="D306" i="2" s="1"/>
  <c r="H305" i="2"/>
  <c r="D305" i="2"/>
  <c r="H304" i="2"/>
  <c r="D304" i="2" s="1"/>
  <c r="H303" i="2"/>
  <c r="D303" i="2"/>
  <c r="H302" i="2"/>
  <c r="D302" i="2" s="1"/>
  <c r="H300" i="2"/>
  <c r="D300" i="2" s="1"/>
  <c r="H299" i="2"/>
  <c r="D299" i="2"/>
  <c r="H298" i="2"/>
  <c r="D298" i="2" s="1"/>
  <c r="H297" i="2"/>
  <c r="D297" i="2"/>
  <c r="G296" i="2"/>
  <c r="F296" i="2"/>
  <c r="E296" i="2"/>
  <c r="C296" i="2"/>
  <c r="H295" i="2"/>
  <c r="D295" i="2"/>
  <c r="G294" i="2"/>
  <c r="F294" i="2"/>
  <c r="E294" i="2"/>
  <c r="C294" i="2"/>
  <c r="H293" i="2"/>
  <c r="D293" i="2"/>
  <c r="H292" i="2"/>
  <c r="D292" i="2" s="1"/>
  <c r="H290" i="2"/>
  <c r="D290" i="2" s="1"/>
  <c r="H289" i="2"/>
  <c r="D289" i="2"/>
  <c r="H288" i="2"/>
  <c r="D288" i="2" s="1"/>
  <c r="H287" i="2"/>
  <c r="D287" i="2"/>
  <c r="H286" i="2"/>
  <c r="D286" i="2" s="1"/>
  <c r="H285" i="2"/>
  <c r="D285" i="2"/>
  <c r="H284" i="2"/>
  <c r="D284" i="2" s="1"/>
  <c r="H283" i="2"/>
  <c r="D283" i="2"/>
  <c r="H282" i="2"/>
  <c r="D282" i="2" s="1"/>
  <c r="H280" i="2"/>
  <c r="D280" i="2" s="1"/>
  <c r="H279" i="2"/>
  <c r="D279" i="2"/>
  <c r="H278" i="2"/>
  <c r="D278" i="2" s="1"/>
  <c r="H277" i="2"/>
  <c r="D277" i="2"/>
  <c r="H276" i="2"/>
  <c r="D276" i="2" s="1"/>
  <c r="H275" i="2"/>
  <c r="D275" i="2"/>
  <c r="H273" i="2"/>
  <c r="D273" i="2"/>
  <c r="H272" i="2"/>
  <c r="D272" i="2" s="1"/>
  <c r="H271" i="2"/>
  <c r="D271" i="2"/>
  <c r="H270" i="2"/>
  <c r="D270" i="2" s="1"/>
  <c r="H269" i="2"/>
  <c r="D269" i="2"/>
  <c r="H268" i="2"/>
  <c r="D268" i="2" s="1"/>
  <c r="H267" i="2"/>
  <c r="D267" i="2"/>
  <c r="H265" i="2"/>
  <c r="D265" i="2"/>
  <c r="H264" i="2"/>
  <c r="D264" i="2" s="1"/>
  <c r="H263" i="2"/>
  <c r="D263" i="2"/>
  <c r="H262" i="2"/>
  <c r="D262" i="2" s="1"/>
  <c r="H261" i="2"/>
  <c r="D261" i="2"/>
  <c r="H260" i="2"/>
  <c r="D260" i="2" s="1"/>
  <c r="H259" i="2"/>
  <c r="D259" i="2"/>
  <c r="G257" i="2"/>
  <c r="F257" i="2"/>
  <c r="E257" i="2"/>
  <c r="C257" i="2"/>
  <c r="H256" i="2"/>
  <c r="D256" i="2" s="1"/>
  <c r="H255" i="2"/>
  <c r="D255" i="2"/>
  <c r="D254" i="2" s="1"/>
  <c r="H254" i="2"/>
  <c r="G254" i="2"/>
  <c r="F254" i="2"/>
  <c r="E254" i="2"/>
  <c r="C254" i="2"/>
  <c r="H253" i="2"/>
  <c r="F253" i="2"/>
  <c r="D253" i="2" s="1"/>
  <c r="H252" i="2"/>
  <c r="D252" i="2"/>
  <c r="F251" i="2"/>
  <c r="F250" i="2"/>
  <c r="F248" i="2" s="1"/>
  <c r="H249" i="2"/>
  <c r="F249" i="2"/>
  <c r="D249" i="2"/>
  <c r="G248" i="2"/>
  <c r="E248" i="2"/>
  <c r="C248" i="2"/>
  <c r="H247" i="2"/>
  <c r="F247" i="2"/>
  <c r="D247" i="2" s="1"/>
  <c r="F246" i="2"/>
  <c r="F245" i="2"/>
  <c r="E245" i="2"/>
  <c r="H244" i="2"/>
  <c r="D244" i="2" s="1"/>
  <c r="F244" i="2"/>
  <c r="H243" i="2"/>
  <c r="D243" i="2" s="1"/>
  <c r="F243" i="2"/>
  <c r="F242" i="2"/>
  <c r="G241" i="2"/>
  <c r="F241" i="2"/>
  <c r="E241" i="2"/>
  <c r="C241" i="2"/>
  <c r="H239" i="2"/>
  <c r="F239" i="2"/>
  <c r="D239" i="2"/>
  <c r="H238" i="2"/>
  <c r="D238" i="2" s="1"/>
  <c r="F238" i="2"/>
  <c r="F237" i="2"/>
  <c r="F236" i="2"/>
  <c r="H235" i="2"/>
  <c r="F235" i="2"/>
  <c r="E235" i="2"/>
  <c r="D235" i="2" s="1"/>
  <c r="G234" i="2"/>
  <c r="F234" i="2"/>
  <c r="C234" i="2"/>
  <c r="H232" i="2"/>
  <c r="D232" i="2" s="1"/>
  <c r="H231" i="2"/>
  <c r="F231" i="2"/>
  <c r="D231" i="2"/>
  <c r="H230" i="2"/>
  <c r="D230" i="2" s="1"/>
  <c r="E230" i="2"/>
  <c r="H229" i="2"/>
  <c r="D229" i="2" s="1"/>
  <c r="H228" i="2"/>
  <c r="D228" i="2"/>
  <c r="H227" i="2"/>
  <c r="D227" i="2" s="1"/>
  <c r="F227" i="2"/>
  <c r="G226" i="2"/>
  <c r="G225" i="2" s="1"/>
  <c r="F226" i="2"/>
  <c r="E226" i="2"/>
  <c r="C226" i="2"/>
  <c r="C225" i="2" s="1"/>
  <c r="H224" i="2"/>
  <c r="D224" i="2"/>
  <c r="H223" i="2"/>
  <c r="D223" i="2" s="1"/>
  <c r="H222" i="2"/>
  <c r="D222" i="2"/>
  <c r="H221" i="2"/>
  <c r="D221" i="2" s="1"/>
  <c r="H220" i="2"/>
  <c r="D220" i="2"/>
  <c r="H219" i="2"/>
  <c r="D219" i="2" s="1"/>
  <c r="G217" i="2"/>
  <c r="F217" i="2"/>
  <c r="E217" i="2"/>
  <c r="H215" i="2"/>
  <c r="D215" i="2" s="1"/>
  <c r="H213" i="2"/>
  <c r="D213" i="2" s="1"/>
  <c r="H212" i="2"/>
  <c r="D212" i="2"/>
  <c r="H211" i="2"/>
  <c r="D211" i="2" s="1"/>
  <c r="H210" i="2"/>
  <c r="D210" i="2"/>
  <c r="H209" i="2"/>
  <c r="D209" i="2" s="1"/>
  <c r="H207" i="2"/>
  <c r="D207" i="2" s="1"/>
  <c r="H206" i="2"/>
  <c r="D206" i="2"/>
  <c r="H205" i="2"/>
  <c r="D205" i="2" s="1"/>
  <c r="H204" i="2"/>
  <c r="D204" i="2"/>
  <c r="H203" i="2"/>
  <c r="D203" i="2" s="1"/>
  <c r="H202" i="2"/>
  <c r="D202" i="2"/>
  <c r="H201" i="2"/>
  <c r="D201" i="2" s="1"/>
  <c r="H199" i="2"/>
  <c r="D199" i="2" s="1"/>
  <c r="H198" i="2"/>
  <c r="D198" i="2"/>
  <c r="H197" i="2"/>
  <c r="D197" i="2" s="1"/>
  <c r="G196" i="2"/>
  <c r="F196" i="2"/>
  <c r="E196" i="2"/>
  <c r="C196" i="2"/>
  <c r="H195" i="2"/>
  <c r="D195" i="2" s="1"/>
  <c r="H194" i="2"/>
  <c r="D194" i="2"/>
  <c r="G192" i="2"/>
  <c r="F192" i="2"/>
  <c r="E192" i="2"/>
  <c r="C192" i="2"/>
  <c r="H191" i="2"/>
  <c r="D191" i="2" s="1"/>
  <c r="D189" i="2" s="1"/>
  <c r="H190" i="2"/>
  <c r="D190" i="2"/>
  <c r="H189" i="2"/>
  <c r="G189" i="2"/>
  <c r="F189" i="2"/>
  <c r="E189" i="2"/>
  <c r="C189" i="2"/>
  <c r="H187" i="2"/>
  <c r="D187" i="2"/>
  <c r="H186" i="2"/>
  <c r="D186" i="2" s="1"/>
  <c r="D184" i="2" s="1"/>
  <c r="H185" i="2"/>
  <c r="D185" i="2"/>
  <c r="H184" i="2"/>
  <c r="G184" i="2"/>
  <c r="G183" i="2" s="1"/>
  <c r="F184" i="2"/>
  <c r="E184" i="2"/>
  <c r="C184" i="2"/>
  <c r="F183" i="2"/>
  <c r="E183" i="2"/>
  <c r="H182" i="2"/>
  <c r="D182" i="2"/>
  <c r="H181" i="2"/>
  <c r="D181" i="2" s="1"/>
  <c r="G172" i="2"/>
  <c r="F172" i="2"/>
  <c r="E172" i="2"/>
  <c r="C172" i="2"/>
  <c r="H170" i="2"/>
  <c r="D170" i="2"/>
  <c r="H169" i="2"/>
  <c r="D169" i="2" s="1"/>
  <c r="H168" i="2"/>
  <c r="D168" i="2"/>
  <c r="H167" i="2"/>
  <c r="D167" i="2" s="1"/>
  <c r="H166" i="2"/>
  <c r="D166" i="2"/>
  <c r="H163" i="2"/>
  <c r="D163" i="2" s="1"/>
  <c r="H162" i="2"/>
  <c r="D162" i="2"/>
  <c r="H161" i="2"/>
  <c r="D161" i="2" s="1"/>
  <c r="H160" i="2"/>
  <c r="D160" i="2"/>
  <c r="H159" i="2"/>
  <c r="D159" i="2" s="1"/>
  <c r="H158" i="2"/>
  <c r="D158" i="2"/>
  <c r="H157" i="2"/>
  <c r="D157" i="2" s="1"/>
  <c r="H155" i="2"/>
  <c r="D155" i="2" s="1"/>
  <c r="H154" i="2"/>
  <c r="D154" i="2"/>
  <c r="H153" i="2"/>
  <c r="D153" i="2" s="1"/>
  <c r="H152" i="2"/>
  <c r="D152" i="2"/>
  <c r="H151" i="2"/>
  <c r="D151" i="2" s="1"/>
  <c r="H150" i="2"/>
  <c r="D150" i="2"/>
  <c r="H149" i="2"/>
  <c r="D149" i="2" s="1"/>
  <c r="H147" i="2"/>
  <c r="D147" i="2" s="1"/>
  <c r="H146" i="2"/>
  <c r="D146" i="2"/>
  <c r="H145" i="2"/>
  <c r="D145" i="2" s="1"/>
  <c r="H144" i="2"/>
  <c r="D144" i="2"/>
  <c r="H143" i="2"/>
  <c r="D143" i="2" s="1"/>
  <c r="H142" i="2"/>
  <c r="D142" i="2"/>
  <c r="H141" i="2"/>
  <c r="D141" i="2" s="1"/>
  <c r="H139" i="2"/>
  <c r="D139" i="2" s="1"/>
  <c r="H138" i="2"/>
  <c r="D138" i="2"/>
  <c r="H137" i="2"/>
  <c r="D137" i="2" s="1"/>
  <c r="H136" i="2"/>
  <c r="D136" i="2"/>
  <c r="H135" i="2"/>
  <c r="D135" i="2" s="1"/>
  <c r="H132" i="2"/>
  <c r="D132" i="2"/>
  <c r="H131" i="2"/>
  <c r="D131" i="2" s="1"/>
  <c r="H128" i="2"/>
  <c r="D128" i="2"/>
  <c r="H127" i="2"/>
  <c r="D127" i="2" s="1"/>
  <c r="H124" i="2"/>
  <c r="D124" i="2"/>
  <c r="H123" i="2"/>
  <c r="D123" i="2" s="1"/>
  <c r="H121" i="2"/>
  <c r="D121" i="2" s="1"/>
  <c r="D120" i="2"/>
  <c r="H119" i="2"/>
  <c r="D119" i="2" s="1"/>
  <c r="D118" i="2"/>
  <c r="H117" i="2"/>
  <c r="D117" i="2" s="1"/>
  <c r="H116" i="2"/>
  <c r="D116" i="2"/>
  <c r="H115" i="2"/>
  <c r="D115" i="2" s="1"/>
  <c r="H114" i="2"/>
  <c r="D114" i="2"/>
  <c r="H113" i="2"/>
  <c r="D113" i="2" s="1"/>
  <c r="H111" i="2"/>
  <c r="D111" i="2" s="1"/>
  <c r="H109" i="2"/>
  <c r="D109" i="2" s="1"/>
  <c r="D108" i="2"/>
  <c r="H107" i="2"/>
  <c r="D107" i="2" s="1"/>
  <c r="H106" i="2"/>
  <c r="E106" i="2"/>
  <c r="D106" i="2" s="1"/>
  <c r="H104" i="2"/>
  <c r="D104" i="2" s="1"/>
  <c r="H103" i="2"/>
  <c r="D103" i="2"/>
  <c r="H101" i="2"/>
  <c r="D101" i="2"/>
  <c r="H100" i="2"/>
  <c r="D100" i="2" s="1"/>
  <c r="E100" i="2"/>
  <c r="E96" i="2" s="1"/>
  <c r="E92" i="2" s="1"/>
  <c r="H99" i="2"/>
  <c r="D99" i="2"/>
  <c r="H98" i="2"/>
  <c r="D98" i="2" s="1"/>
  <c r="H97" i="2"/>
  <c r="D97" i="2"/>
  <c r="G96" i="2"/>
  <c r="F96" i="2"/>
  <c r="C96" i="2"/>
  <c r="D95" i="2"/>
  <c r="H94" i="2"/>
  <c r="G93" i="2"/>
  <c r="G92" i="2" s="1"/>
  <c r="F93" i="2"/>
  <c r="F92" i="2" s="1"/>
  <c r="E93" i="2"/>
  <c r="C93" i="2"/>
  <c r="C92" i="2" s="1"/>
  <c r="H90" i="2"/>
  <c r="D90" i="2" s="1"/>
  <c r="H89" i="2"/>
  <c r="D89" i="2"/>
  <c r="H88" i="2"/>
  <c r="D88" i="2" s="1"/>
  <c r="D87" i="2"/>
  <c r="D85" i="2"/>
  <c r="H84" i="2"/>
  <c r="D84" i="2" s="1"/>
  <c r="H83" i="2"/>
  <c r="D83" i="2"/>
  <c r="H82" i="2"/>
  <c r="D82" i="2" s="1"/>
  <c r="D81" i="2"/>
  <c r="H80" i="2"/>
  <c r="D80" i="2" s="1"/>
  <c r="H79" i="2"/>
  <c r="D79" i="2"/>
  <c r="H77" i="2"/>
  <c r="D77" i="2"/>
  <c r="H76" i="2"/>
  <c r="D76" i="2" s="1"/>
  <c r="D75" i="2"/>
  <c r="H74" i="2"/>
  <c r="D74" i="2" s="1"/>
  <c r="D73" i="2"/>
  <c r="H72" i="2"/>
  <c r="D72" i="2" s="1"/>
  <c r="D71" i="2"/>
  <c r="D69" i="2"/>
  <c r="H68" i="2"/>
  <c r="G67" i="2"/>
  <c r="F67" i="2"/>
  <c r="E67" i="2"/>
  <c r="C67" i="2"/>
  <c r="H66" i="2"/>
  <c r="D66" i="2" s="1"/>
  <c r="H64" i="2"/>
  <c r="D64" i="2" s="1"/>
  <c r="H63" i="2"/>
  <c r="D63" i="2"/>
  <c r="H62" i="2"/>
  <c r="D62" i="2" s="1"/>
  <c r="D61" i="2"/>
  <c r="H60" i="2"/>
  <c r="D60" i="2" s="1"/>
  <c r="H59" i="2"/>
  <c r="D59" i="2"/>
  <c r="H58" i="2"/>
  <c r="D58" i="2" s="1"/>
  <c r="H57" i="2"/>
  <c r="D57" i="2"/>
  <c r="H56" i="2"/>
  <c r="D56" i="2" s="1"/>
  <c r="H55" i="2"/>
  <c r="D55" i="2"/>
  <c r="H54" i="2"/>
  <c r="D54" i="2" s="1"/>
  <c r="H53" i="2"/>
  <c r="D53" i="2"/>
  <c r="H52" i="2"/>
  <c r="D52" i="2" s="1"/>
  <c r="H50" i="2"/>
  <c r="D50" i="2" s="1"/>
  <c r="H49" i="2"/>
  <c r="D49" i="2" s="1"/>
  <c r="H48" i="2"/>
  <c r="D48" i="2" s="1"/>
  <c r="H47" i="2"/>
  <c r="D47" i="2"/>
  <c r="H46" i="2"/>
  <c r="D46" i="2" s="1"/>
  <c r="H45" i="2"/>
  <c r="D45" i="2" s="1"/>
  <c r="H44" i="2"/>
  <c r="D44" i="2" s="1"/>
  <c r="H43" i="2"/>
  <c r="D43" i="2" s="1"/>
  <c r="H42" i="2"/>
  <c r="D42" i="2" s="1"/>
  <c r="H41" i="2"/>
  <c r="D41" i="2" s="1"/>
  <c r="H40" i="2"/>
  <c r="D40" i="2" s="1"/>
  <c r="H39" i="2"/>
  <c r="D39" i="2"/>
  <c r="H38" i="2"/>
  <c r="D38" i="2" s="1"/>
  <c r="H37" i="2"/>
  <c r="D37" i="2"/>
  <c r="H36" i="2"/>
  <c r="D36" i="2" s="1"/>
  <c r="H34" i="2"/>
  <c r="D34" i="2" s="1"/>
  <c r="H33" i="2"/>
  <c r="D33" i="2"/>
  <c r="H32" i="2"/>
  <c r="D32" i="2" s="1"/>
  <c r="G31" i="2"/>
  <c r="F31" i="2"/>
  <c r="E31" i="2"/>
  <c r="C31" i="2"/>
  <c r="H30" i="2"/>
  <c r="D30" i="2" s="1"/>
  <c r="H29" i="2"/>
  <c r="D29" i="2"/>
  <c r="H28" i="2"/>
  <c r="D28" i="2" s="1"/>
  <c r="D27" i="2" s="1"/>
  <c r="G27" i="2"/>
  <c r="F27" i="2"/>
  <c r="E27" i="2"/>
  <c r="C27" i="2"/>
  <c r="H25" i="2"/>
  <c r="D25" i="2"/>
  <c r="H24" i="2"/>
  <c r="D24" i="2" s="1"/>
  <c r="H23" i="2"/>
  <c r="D23" i="2"/>
  <c r="H22" i="2"/>
  <c r="D22" i="2" s="1"/>
  <c r="H21" i="2"/>
  <c r="D21" i="2"/>
  <c r="H20" i="2"/>
  <c r="D20" i="2" s="1"/>
  <c r="H19" i="2"/>
  <c r="D19" i="2"/>
  <c r="H18" i="2"/>
  <c r="D18" i="2" s="1"/>
  <c r="H17" i="2"/>
  <c r="D17" i="2"/>
  <c r="H16" i="2"/>
  <c r="D16" i="2" s="1"/>
  <c r="H15" i="2"/>
  <c r="D15" i="2"/>
  <c r="H14" i="2"/>
  <c r="D14" i="2" s="1"/>
  <c r="G12" i="2"/>
  <c r="F12" i="2"/>
  <c r="E12" i="2"/>
  <c r="C12" i="2"/>
  <c r="G11" i="2"/>
  <c r="C11" i="2"/>
  <c r="F397" i="3"/>
  <c r="F396" i="3"/>
  <c r="D396" i="3"/>
  <c r="D395" i="3"/>
  <c r="F395" i="3" s="1"/>
  <c r="C37" i="4" s="1"/>
  <c r="F394" i="3"/>
  <c r="F393" i="3"/>
  <c r="F392" i="3"/>
  <c r="F391" i="3"/>
  <c r="F390" i="3"/>
  <c r="F389" i="3"/>
  <c r="F388" i="3"/>
  <c r="F387" i="3"/>
  <c r="F386" i="3"/>
  <c r="F385" i="3"/>
  <c r="F384" i="3"/>
  <c r="F383" i="3"/>
  <c r="F382" i="3"/>
  <c r="F381" i="3"/>
  <c r="F380" i="3"/>
  <c r="F379" i="3"/>
  <c r="F378" i="3"/>
  <c r="E377" i="3"/>
  <c r="D377" i="3"/>
  <c r="F377" i="3" s="1"/>
  <c r="F376" i="3"/>
  <c r="F375" i="3"/>
  <c r="F374" i="3"/>
  <c r="F373" i="3"/>
  <c r="F372" i="3"/>
  <c r="F371" i="3"/>
  <c r="F370" i="3"/>
  <c r="F369" i="3"/>
  <c r="F368" i="3"/>
  <c r="F367" i="3"/>
  <c r="F366" i="3"/>
  <c r="F365" i="3"/>
  <c r="F364" i="3"/>
  <c r="F363" i="3"/>
  <c r="F362" i="3"/>
  <c r="F361" i="3"/>
  <c r="F360" i="3"/>
  <c r="F359" i="3"/>
  <c r="F358" i="3"/>
  <c r="F357" i="3"/>
  <c r="F356" i="3"/>
  <c r="F355" i="3"/>
  <c r="F354" i="3"/>
  <c r="F353" i="3"/>
  <c r="E352" i="3"/>
  <c r="D352" i="3"/>
  <c r="F352" i="3" s="1"/>
  <c r="F351" i="3"/>
  <c r="F350" i="3"/>
  <c r="F349" i="3"/>
  <c r="F348" i="3"/>
  <c r="F347" i="3"/>
  <c r="F346" i="3"/>
  <c r="F345" i="3"/>
  <c r="F344" i="3"/>
  <c r="F343" i="3"/>
  <c r="F342" i="3"/>
  <c r="F341" i="3"/>
  <c r="F340" i="3"/>
  <c r="E339" i="3"/>
  <c r="D339" i="3"/>
  <c r="F339" i="3" s="1"/>
  <c r="F337" i="3"/>
  <c r="F336" i="3"/>
  <c r="F335" i="3"/>
  <c r="F334" i="3"/>
  <c r="F333" i="3"/>
  <c r="E332" i="3"/>
  <c r="D332" i="3"/>
  <c r="F332" i="3" s="1"/>
  <c r="F331" i="3"/>
  <c r="F330" i="3"/>
  <c r="F329" i="3"/>
  <c r="F328" i="3"/>
  <c r="F327" i="3"/>
  <c r="F326" i="3"/>
  <c r="F325" i="3"/>
  <c r="F324" i="3"/>
  <c r="F323" i="3"/>
  <c r="F322" i="3"/>
  <c r="F321" i="3"/>
  <c r="F320" i="3"/>
  <c r="F319" i="3"/>
  <c r="F318" i="3"/>
  <c r="F317" i="3"/>
  <c r="F316" i="3"/>
  <c r="F315" i="3"/>
  <c r="F314" i="3"/>
  <c r="F313" i="3"/>
  <c r="F312" i="3"/>
  <c r="F311" i="3"/>
  <c r="F310" i="3"/>
  <c r="F309" i="3"/>
  <c r="F308" i="3"/>
  <c r="F307" i="3"/>
  <c r="F306" i="3"/>
  <c r="F305" i="3"/>
  <c r="F304" i="3"/>
  <c r="F303" i="3"/>
  <c r="F302" i="3"/>
  <c r="F301" i="3"/>
  <c r="F300" i="3"/>
  <c r="F299" i="3"/>
  <c r="F298" i="3"/>
  <c r="F297" i="3"/>
  <c r="F296" i="3"/>
  <c r="F295" i="3"/>
  <c r="F294" i="3"/>
  <c r="F293" i="3"/>
  <c r="F292" i="3"/>
  <c r="F291" i="3"/>
  <c r="F290" i="3"/>
  <c r="F289" i="3"/>
  <c r="F288" i="3"/>
  <c r="F287" i="3"/>
  <c r="F286" i="3"/>
  <c r="F285" i="3"/>
  <c r="F284" i="3"/>
  <c r="F283" i="3"/>
  <c r="F282" i="3"/>
  <c r="F281" i="3"/>
  <c r="F280" i="3"/>
  <c r="F279" i="3"/>
  <c r="F278" i="3"/>
  <c r="F277" i="3"/>
  <c r="F276" i="3"/>
  <c r="F275" i="3"/>
  <c r="F274" i="3"/>
  <c r="F273" i="3"/>
  <c r="F272" i="3"/>
  <c r="F271" i="3"/>
  <c r="F270" i="3"/>
  <c r="F269" i="3"/>
  <c r="F268" i="3"/>
  <c r="F267" i="3"/>
  <c r="F266" i="3"/>
  <c r="F265" i="3"/>
  <c r="F264" i="3"/>
  <c r="F263" i="3"/>
  <c r="F262" i="3"/>
  <c r="F261" i="3"/>
  <c r="F260" i="3"/>
  <c r="F259" i="3"/>
  <c r="E258" i="3"/>
  <c r="D258" i="3"/>
  <c r="F258" i="3" s="1"/>
  <c r="E257" i="3"/>
  <c r="F256" i="3"/>
  <c r="F255" i="3"/>
  <c r="F254" i="3"/>
  <c r="F253" i="3"/>
  <c r="F252" i="3"/>
  <c r="F251" i="3"/>
  <c r="F250" i="3"/>
  <c r="F249" i="3"/>
  <c r="F248" i="3"/>
  <c r="F247" i="3"/>
  <c r="F246" i="3"/>
  <c r="F245" i="3"/>
  <c r="F244" i="3"/>
  <c r="F243" i="3"/>
  <c r="F242" i="3"/>
  <c r="F241" i="3"/>
  <c r="F240" i="3"/>
  <c r="F239" i="3"/>
  <c r="F238" i="3"/>
  <c r="F237" i="3"/>
  <c r="F236" i="3"/>
  <c r="D235" i="3"/>
  <c r="F235" i="3" s="1"/>
  <c r="F234" i="3"/>
  <c r="F233" i="3"/>
  <c r="F232" i="3"/>
  <c r="F231" i="3"/>
  <c r="F230" i="3"/>
  <c r="F229" i="3"/>
  <c r="F228" i="3"/>
  <c r="F227" i="3"/>
  <c r="F226" i="3"/>
  <c r="D226" i="3"/>
  <c r="F225" i="3"/>
  <c r="F224" i="3"/>
  <c r="F223" i="3"/>
  <c r="F222" i="3"/>
  <c r="F221" i="3"/>
  <c r="F220" i="3"/>
  <c r="F219" i="3"/>
  <c r="D219" i="3"/>
  <c r="F217" i="3"/>
  <c r="F216" i="3"/>
  <c r="F215" i="3"/>
  <c r="F214" i="3"/>
  <c r="F213" i="3"/>
  <c r="F212" i="3"/>
  <c r="F211" i="3"/>
  <c r="F210" i="3"/>
  <c r="F209" i="3"/>
  <c r="F208" i="3"/>
  <c r="F207" i="3"/>
  <c r="F206" i="3"/>
  <c r="F205" i="3"/>
  <c r="F204" i="3"/>
  <c r="F203" i="3"/>
  <c r="F202" i="3"/>
  <c r="F201" i="3"/>
  <c r="F200" i="3"/>
  <c r="F199" i="3"/>
  <c r="F198" i="3"/>
  <c r="F197" i="3"/>
  <c r="F196" i="3"/>
  <c r="D195" i="3"/>
  <c r="F195" i="3" s="1"/>
  <c r="F194" i="3"/>
  <c r="F193" i="3"/>
  <c r="F192" i="3"/>
  <c r="F191" i="3"/>
  <c r="F190" i="3"/>
  <c r="D189" i="3"/>
  <c r="F189" i="3" s="1"/>
  <c r="F188" i="3"/>
  <c r="F187" i="3"/>
  <c r="F186" i="3"/>
  <c r="F185" i="3"/>
  <c r="F184" i="3"/>
  <c r="F183" i="3"/>
  <c r="F182" i="3"/>
  <c r="F181" i="3"/>
  <c r="F180" i="3"/>
  <c r="F179" i="3"/>
  <c r="F178" i="3"/>
  <c r="F177" i="3"/>
  <c r="F176" i="3"/>
  <c r="F175" i="3"/>
  <c r="F174" i="3"/>
  <c r="F173" i="3"/>
  <c r="F172" i="3"/>
  <c r="F171" i="3"/>
  <c r="F170" i="3"/>
  <c r="F169" i="3"/>
  <c r="F168" i="3"/>
  <c r="F167" i="3"/>
  <c r="F166" i="3"/>
  <c r="F165" i="3"/>
  <c r="F164" i="3"/>
  <c r="F163" i="3"/>
  <c r="F162" i="3"/>
  <c r="F161" i="3"/>
  <c r="F160" i="3"/>
  <c r="F159" i="3"/>
  <c r="F158" i="3"/>
  <c r="F157" i="3"/>
  <c r="F156" i="3"/>
  <c r="F155" i="3"/>
  <c r="F154" i="3"/>
  <c r="F153" i="3"/>
  <c r="F152" i="3"/>
  <c r="F151" i="3"/>
  <c r="D150" i="3"/>
  <c r="F150" i="3" s="1"/>
  <c r="F149" i="3"/>
  <c r="F148" i="3"/>
  <c r="F147" i="3"/>
  <c r="F146" i="3"/>
  <c r="F145" i="3"/>
  <c r="D144" i="3"/>
  <c r="D143" i="3" s="1"/>
  <c r="F143" i="3" s="1"/>
  <c r="F142" i="3"/>
  <c r="D141" i="3"/>
  <c r="D140" i="3" s="1"/>
  <c r="F140" i="3" s="1"/>
  <c r="F139" i="3"/>
  <c r="F138" i="3"/>
  <c r="F137" i="3"/>
  <c r="F136" i="3"/>
  <c r="F135" i="3"/>
  <c r="F134" i="3"/>
  <c r="F133" i="3"/>
  <c r="F132" i="3"/>
  <c r="F131" i="3"/>
  <c r="F130" i="3"/>
  <c r="F129" i="3"/>
  <c r="D128" i="3"/>
  <c r="F128" i="3" s="1"/>
  <c r="F127" i="3"/>
  <c r="F126" i="3"/>
  <c r="F125" i="3"/>
  <c r="D124" i="3"/>
  <c r="F124" i="3" s="1"/>
  <c r="E121" i="3"/>
  <c r="F120" i="3"/>
  <c r="F119" i="3"/>
  <c r="C34" i="4" s="1"/>
  <c r="C33" i="4" s="1"/>
  <c r="D119" i="3"/>
  <c r="F118" i="3"/>
  <c r="F117" i="3"/>
  <c r="F116" i="3"/>
  <c r="F115" i="3"/>
  <c r="F114" i="3"/>
  <c r="F113" i="3"/>
  <c r="F112" i="3"/>
  <c r="F111" i="3"/>
  <c r="F110" i="3"/>
  <c r="F109" i="3"/>
  <c r="F108" i="3"/>
  <c r="F107" i="3"/>
  <c r="F106" i="3"/>
  <c r="F105" i="3"/>
  <c r="F104" i="3"/>
  <c r="E104" i="3"/>
  <c r="D104" i="3"/>
  <c r="F103" i="3"/>
  <c r="F102" i="3"/>
  <c r="F101" i="3"/>
  <c r="F100" i="3"/>
  <c r="F99" i="3"/>
  <c r="F98" i="3"/>
  <c r="F97" i="3"/>
  <c r="F96" i="3"/>
  <c r="F95" i="3"/>
  <c r="F94" i="3"/>
  <c r="F93" i="3"/>
  <c r="F92" i="3"/>
  <c r="F91" i="3"/>
  <c r="F90" i="3"/>
  <c r="F89" i="3"/>
  <c r="F88" i="3"/>
  <c r="E87" i="3"/>
  <c r="E71" i="3" s="1"/>
  <c r="F86" i="3"/>
  <c r="F85" i="3"/>
  <c r="F84" i="3"/>
  <c r="F83" i="3"/>
  <c r="F82" i="3"/>
  <c r="F81" i="3"/>
  <c r="F80" i="3"/>
  <c r="F79" i="3"/>
  <c r="F78" i="3"/>
  <c r="F77" i="3"/>
  <c r="F76" i="3"/>
  <c r="F75" i="3"/>
  <c r="F74" i="3"/>
  <c r="F73" i="3"/>
  <c r="F72" i="3"/>
  <c r="F69" i="3"/>
  <c r="F68" i="3"/>
  <c r="E67" i="3"/>
  <c r="F67" i="3" s="1"/>
  <c r="C30" i="4" s="1"/>
  <c r="C29" i="4" s="1"/>
  <c r="F66" i="3"/>
  <c r="C65" i="3"/>
  <c r="F65" i="3" s="1"/>
  <c r="F64" i="3"/>
  <c r="F62" i="3"/>
  <c r="F61" i="3"/>
  <c r="F60" i="3"/>
  <c r="F59" i="3"/>
  <c r="F58" i="3"/>
  <c r="C57" i="3"/>
  <c r="C56" i="3" s="1"/>
  <c r="F54" i="3"/>
  <c r="F53" i="3"/>
  <c r="C52" i="3"/>
  <c r="C51" i="3" s="1"/>
  <c r="F51" i="3" s="1"/>
  <c r="C23" i="4" s="1"/>
  <c r="C22" i="4" s="1"/>
  <c r="F50" i="3"/>
  <c r="F49" i="3"/>
  <c r="F48" i="3"/>
  <c r="F47" i="3"/>
  <c r="F46" i="3"/>
  <c r="C45" i="3"/>
  <c r="F45" i="3" s="1"/>
  <c r="C21" i="4" s="1"/>
  <c r="F44" i="3"/>
  <c r="C43" i="3"/>
  <c r="C38" i="3" s="1"/>
  <c r="F42" i="3"/>
  <c r="F41" i="3"/>
  <c r="F40" i="3"/>
  <c r="F39" i="3"/>
  <c r="F36" i="3"/>
  <c r="F35" i="3" s="1"/>
  <c r="C35" i="3"/>
  <c r="F33" i="3"/>
  <c r="F32" i="3" s="1"/>
  <c r="C32" i="3"/>
  <c r="F31" i="3"/>
  <c r="F30" i="3" s="1"/>
  <c r="C30" i="3"/>
  <c r="F28" i="3"/>
  <c r="F27" i="3"/>
  <c r="C26" i="3"/>
  <c r="F26" i="3" s="1"/>
  <c r="F25" i="3"/>
  <c r="F24" i="3"/>
  <c r="F23" i="3"/>
  <c r="C22" i="3"/>
  <c r="F22" i="3" s="1"/>
  <c r="F21" i="3"/>
  <c r="F20" i="3"/>
  <c r="C19" i="3"/>
  <c r="C18" i="3" s="1"/>
  <c r="C17" i="3" s="1"/>
  <c r="F17" i="3" s="1"/>
  <c r="F16" i="3"/>
  <c r="C15" i="3"/>
  <c r="C14" i="3" s="1"/>
  <c r="C69" i="4"/>
  <c r="C67" i="4"/>
  <c r="C65" i="4"/>
  <c r="C64" i="4" s="1"/>
  <c r="C60" i="4" s="1"/>
  <c r="C59" i="4" s="1"/>
  <c r="C61" i="4"/>
  <c r="C56" i="4"/>
  <c r="C55" i="4"/>
  <c r="C54" i="4"/>
  <c r="C53" i="4"/>
  <c r="C52" i="4"/>
  <c r="C27" i="4"/>
  <c r="C18" i="4"/>
  <c r="C17" i="4"/>
  <c r="C28" i="4" l="1"/>
  <c r="C26" i="4" s="1"/>
  <c r="F63" i="3"/>
  <c r="F15" i="3"/>
  <c r="C12" i="4" s="1"/>
  <c r="C11" i="4" s="1"/>
  <c r="F19" i="3"/>
  <c r="F57" i="3"/>
  <c r="C63" i="3"/>
  <c r="F141" i="3"/>
  <c r="F144" i="3"/>
  <c r="C29" i="3"/>
  <c r="F29" i="3" s="1"/>
  <c r="C16" i="4" s="1"/>
  <c r="C15" i="4" s="1"/>
  <c r="D123" i="3"/>
  <c r="F123" i="3" s="1"/>
  <c r="D257" i="3"/>
  <c r="F257" i="3" s="1"/>
  <c r="E338" i="3"/>
  <c r="C13" i="3"/>
  <c r="F13" i="3" s="1"/>
  <c r="F14" i="3"/>
  <c r="F71" i="3"/>
  <c r="E70" i="3"/>
  <c r="F38" i="3"/>
  <c r="C20" i="4" s="1"/>
  <c r="C19" i="4" s="1"/>
  <c r="C37" i="3"/>
  <c r="F56" i="3"/>
  <c r="C55" i="3"/>
  <c r="F55" i="3" s="1"/>
  <c r="C25" i="4" s="1"/>
  <c r="C24" i="4" s="1"/>
  <c r="F18" i="3"/>
  <c r="C14" i="4" s="1"/>
  <c r="C13" i="4" s="1"/>
  <c r="F43" i="3"/>
  <c r="F52" i="3"/>
  <c r="F87" i="3"/>
  <c r="H27" i="2"/>
  <c r="C41" i="4" s="1"/>
  <c r="D226" i="2"/>
  <c r="D250" i="2"/>
  <c r="D338" i="3"/>
  <c r="D94" i="2"/>
  <c r="D93" i="2" s="1"/>
  <c r="H93" i="2"/>
  <c r="F225" i="2"/>
  <c r="F11" i="2" s="1"/>
  <c r="D236" i="2"/>
  <c r="D68" i="2"/>
  <c r="H226" i="2"/>
  <c r="B13" i="1"/>
  <c r="B275" i="1"/>
  <c r="H91" i="2" s="1"/>
  <c r="D91" i="2" s="1"/>
  <c r="B18" i="1"/>
  <c r="H26" i="2" s="1"/>
  <c r="D26" i="2" s="1"/>
  <c r="B36" i="1"/>
  <c r="H35" i="2" s="1"/>
  <c r="D35" i="2" s="1"/>
  <c r="D31" i="2" s="1"/>
  <c r="B52" i="1"/>
  <c r="H51" i="2" s="1"/>
  <c r="D51" i="2" s="1"/>
  <c r="B69" i="1"/>
  <c r="H78" i="2" s="1"/>
  <c r="D78" i="2" s="1"/>
  <c r="B85" i="1"/>
  <c r="H102" i="2" s="1"/>
  <c r="D102" i="2" s="1"/>
  <c r="D96" i="2" s="1"/>
  <c r="B95" i="1"/>
  <c r="H112" i="2" s="1"/>
  <c r="D112" i="2" s="1"/>
  <c r="B109" i="1"/>
  <c r="H126" i="2" s="1"/>
  <c r="D126" i="2" s="1"/>
  <c r="B112" i="1"/>
  <c r="H129" i="2" s="1"/>
  <c r="D129" i="2" s="1"/>
  <c r="B117" i="1"/>
  <c r="H134" i="2" s="1"/>
  <c r="D134" i="2" s="1"/>
  <c r="B124" i="1"/>
  <c r="H140" i="2" s="1"/>
  <c r="D140" i="2" s="1"/>
  <c r="B140" i="1"/>
  <c r="H156" i="2" s="1"/>
  <c r="D156" i="2" s="1"/>
  <c r="B149" i="1"/>
  <c r="H173" i="2" s="1"/>
  <c r="B151" i="1"/>
  <c r="H175" i="2" s="1"/>
  <c r="D175" i="2" s="1"/>
  <c r="B153" i="1"/>
  <c r="H177" i="2" s="1"/>
  <c r="D177" i="2" s="1"/>
  <c r="B155" i="1"/>
  <c r="B164" i="1"/>
  <c r="H193" i="2" s="1"/>
  <c r="B170" i="1"/>
  <c r="H200" i="2" s="1"/>
  <c r="D200" i="2" s="1"/>
  <c r="D196" i="2" s="1"/>
  <c r="B184" i="1"/>
  <c r="H214" i="2" s="1"/>
  <c r="D214" i="2" s="1"/>
  <c r="B189" i="1"/>
  <c r="H218" i="2" s="1"/>
  <c r="C200" i="1"/>
  <c r="B200" i="1" s="1"/>
  <c r="H237" i="2" s="1"/>
  <c r="D237" i="2" s="1"/>
  <c r="D234" i="2" s="1"/>
  <c r="C208" i="1"/>
  <c r="B208" i="1" s="1"/>
  <c r="H246" i="2" s="1"/>
  <c r="D246" i="2" s="1"/>
  <c r="B216" i="1"/>
  <c r="H258" i="2" s="1"/>
  <c r="B232" i="1"/>
  <c r="H274" i="2" s="1"/>
  <c r="D274" i="2" s="1"/>
  <c r="B248" i="1"/>
  <c r="H301" i="2" s="1"/>
  <c r="B257" i="1"/>
  <c r="H310" i="2" s="1"/>
  <c r="D310" i="2" s="1"/>
  <c r="B263" i="1"/>
  <c r="H165" i="2" s="1"/>
  <c r="D165" i="2" s="1"/>
  <c r="B279" i="1"/>
  <c r="H171" i="2" s="1"/>
  <c r="D171" i="2" s="1"/>
  <c r="E234" i="2"/>
  <c r="E225" i="2" s="1"/>
  <c r="E11" i="2" s="1"/>
  <c r="B61" i="1"/>
  <c r="H70" i="2" s="1"/>
  <c r="D70" i="2" s="1"/>
  <c r="B77" i="1"/>
  <c r="H86" i="2" s="1"/>
  <c r="D86" i="2" s="1"/>
  <c r="B93" i="1"/>
  <c r="H110" i="2" s="1"/>
  <c r="D110" i="2" s="1"/>
  <c r="B105" i="1"/>
  <c r="H122" i="2" s="1"/>
  <c r="D122" i="2" s="1"/>
  <c r="B108" i="1"/>
  <c r="H125" i="2" s="1"/>
  <c r="D125" i="2" s="1"/>
  <c r="B113" i="1"/>
  <c r="H130" i="2" s="1"/>
  <c r="D130" i="2" s="1"/>
  <c r="B116" i="1"/>
  <c r="H133" i="2" s="1"/>
  <c r="D133" i="2" s="1"/>
  <c r="B132" i="1"/>
  <c r="H148" i="2" s="1"/>
  <c r="D148" i="2" s="1"/>
  <c r="B148" i="1"/>
  <c r="H164" i="2" s="1"/>
  <c r="D164" i="2" s="1"/>
  <c r="B150" i="1"/>
  <c r="H174" i="2" s="1"/>
  <c r="D174" i="2" s="1"/>
  <c r="B152" i="1"/>
  <c r="H176" i="2" s="1"/>
  <c r="D176" i="2" s="1"/>
  <c r="B154" i="1"/>
  <c r="B156" i="1"/>
  <c r="H180" i="2" s="1"/>
  <c r="D180" i="2" s="1"/>
  <c r="B178" i="1"/>
  <c r="H208" i="2" s="1"/>
  <c r="D208" i="2" s="1"/>
  <c r="C204" i="1"/>
  <c r="B204" i="1" s="1"/>
  <c r="H242" i="2" s="1"/>
  <c r="C212" i="1"/>
  <c r="B224" i="1"/>
  <c r="H266" i="2" s="1"/>
  <c r="D266" i="2" s="1"/>
  <c r="B240" i="1"/>
  <c r="H291" i="2" s="1"/>
  <c r="D291" i="2" s="1"/>
  <c r="B271" i="1"/>
  <c r="H281" i="2" s="1"/>
  <c r="D281" i="2" s="1"/>
  <c r="B287" i="1"/>
  <c r="H65" i="2" s="1"/>
  <c r="D65" i="2" s="1"/>
  <c r="F212" i="1"/>
  <c r="F293" i="1" s="1"/>
  <c r="C51" i="4" s="1"/>
  <c r="C293" i="1" l="1"/>
  <c r="C50" i="4" s="1"/>
  <c r="C49" i="4" s="1"/>
  <c r="H67" i="2"/>
  <c r="C43" i="4" s="1"/>
  <c r="D92" i="2"/>
  <c r="H31" i="2"/>
  <c r="C42" i="4" s="1"/>
  <c r="D193" i="2"/>
  <c r="D192" i="2" s="1"/>
  <c r="H192" i="2"/>
  <c r="H13" i="2"/>
  <c r="D67" i="2"/>
  <c r="F338" i="3"/>
  <c r="D218" i="3"/>
  <c r="C34" i="3"/>
  <c r="F34" i="3" s="1"/>
  <c r="F37" i="3"/>
  <c r="D301" i="2"/>
  <c r="H296" i="2"/>
  <c r="D173" i="2"/>
  <c r="D242" i="2"/>
  <c r="D241" i="2" s="1"/>
  <c r="H241" i="2"/>
  <c r="D218" i="2"/>
  <c r="D217" i="2" s="1"/>
  <c r="H217" i="2"/>
  <c r="H179" i="2"/>
  <c r="D179" i="2" s="1"/>
  <c r="H178" i="2"/>
  <c r="D178" i="2" s="1"/>
  <c r="H196" i="2"/>
  <c r="H234" i="2"/>
  <c r="F70" i="3"/>
  <c r="C32" i="4" s="1"/>
  <c r="C31" i="4" s="1"/>
  <c r="E12" i="3"/>
  <c r="C12" i="3"/>
  <c r="B212" i="1"/>
  <c r="H251" i="2" s="1"/>
  <c r="D258" i="2"/>
  <c r="D257" i="2" s="1"/>
  <c r="H257" i="2"/>
  <c r="H96" i="2"/>
  <c r="H92" i="2" s="1"/>
  <c r="C44" i="4" s="1"/>
  <c r="H172" i="2" l="1"/>
  <c r="C45" i="4" s="1"/>
  <c r="F218" i="3"/>
  <c r="D122" i="3"/>
  <c r="B293" i="1"/>
  <c r="D172" i="2"/>
  <c r="H183" i="2"/>
  <c r="C46" i="4" s="1"/>
  <c r="D296" i="2"/>
  <c r="H294" i="2"/>
  <c r="D183" i="2"/>
  <c r="D251" i="2"/>
  <c r="D248" i="2" s="1"/>
  <c r="D225" i="2" s="1"/>
  <c r="H248" i="2"/>
  <c r="H225" i="2" s="1"/>
  <c r="C47" i="4" s="1"/>
  <c r="D13" i="2"/>
  <c r="D12" i="2" s="1"/>
  <c r="H12" i="2"/>
  <c r="D294" i="2" l="1"/>
  <c r="D11" i="2" s="1"/>
  <c r="C48" i="4"/>
  <c r="D12" i="3"/>
  <c r="F122" i="3"/>
  <c r="C36" i="4" s="1"/>
  <c r="C35" i="4" s="1"/>
  <c r="C10" i="4" s="1"/>
  <c r="D121" i="3"/>
  <c r="F121" i="3" s="1"/>
  <c r="F12" i="3" s="1"/>
  <c r="C40" i="4"/>
  <c r="C39" i="4" s="1"/>
  <c r="C38" i="4" s="1"/>
  <c r="H11" i="2"/>
  <c r="C58" i="4" l="1"/>
</calcChain>
</file>

<file path=xl/sharedStrings.xml><?xml version="1.0" encoding="utf-8"?>
<sst xmlns="http://schemas.openxmlformats.org/spreadsheetml/2006/main" count="1234" uniqueCount="775">
  <si>
    <t>Iestādes</t>
  </si>
  <si>
    <t>Balvu novada administrācija</t>
  </si>
  <si>
    <t>Deputātu darba samaksa</t>
  </si>
  <si>
    <t>Izdevumi neparedzētiem gadījumiem</t>
  </si>
  <si>
    <t>Biedru maksa</t>
  </si>
  <si>
    <t>Dzimtsarakstu nodaļa</t>
  </si>
  <si>
    <t>Pašvaldības policija</t>
  </si>
  <si>
    <t>Būvvalde</t>
  </si>
  <si>
    <t>Pārējā ekonomiskā darbība (PVN)</t>
  </si>
  <si>
    <t>Ielu apgaismojums Balvu pilsētā</t>
  </si>
  <si>
    <t>Balvu pagasta komunālā saimniecība</t>
  </si>
  <si>
    <t>Bērzpils pagasta komunālā saimniecība</t>
  </si>
  <si>
    <t>Briežuciema pagasta komunālā saimniecība</t>
  </si>
  <si>
    <t>Krišjāņu pagasta komunālā saimniecība</t>
  </si>
  <si>
    <t>Kubulu pagasta komunālā saimniecība</t>
  </si>
  <si>
    <t>Lazdulejas pagasta komunālā saimniecība</t>
  </si>
  <si>
    <t>Tilžas pagasta komunālā saimniecība</t>
  </si>
  <si>
    <t>Vectilžas pagasta komunālā saimniecība</t>
  </si>
  <si>
    <t>Vīksnas pagasta komunālā saimniecība</t>
  </si>
  <si>
    <t>Briežuciema FVP</t>
  </si>
  <si>
    <t>Balvu Centrālā bibliotēka</t>
  </si>
  <si>
    <t>KAC pasākumi</t>
  </si>
  <si>
    <t>Briežuciema Tautas nams</t>
  </si>
  <si>
    <t>Krišjāņu Tautas nams</t>
  </si>
  <si>
    <t>Kubulu kultūras nams</t>
  </si>
  <si>
    <t>Vīksnas Tautas nams</t>
  </si>
  <si>
    <t>Pārējie pasākumi, sabiedriskās attiecības</t>
  </si>
  <si>
    <t>PII Pīlādzītis</t>
  </si>
  <si>
    <t>PII Sienāzītis</t>
  </si>
  <si>
    <t>Bērzkalnes PII</t>
  </si>
  <si>
    <t>Stacijas pamatskola</t>
  </si>
  <si>
    <t>Balvu Valsts ģimnāzija</t>
  </si>
  <si>
    <t>Balvu mūzikas skola</t>
  </si>
  <si>
    <t>Balvu mākslas skola</t>
  </si>
  <si>
    <t>Balvu sporta skola</t>
  </si>
  <si>
    <t>Transporta izdevumu kompensācija skolēniem</t>
  </si>
  <si>
    <t>Pansionāts "Balvi"</t>
  </si>
  <si>
    <t>Bāriņtiesa</t>
  </si>
  <si>
    <t>Sociālo māju uzturēšana</t>
  </si>
  <si>
    <t>KOPĀ</t>
  </si>
  <si>
    <t>Balvu sporta skolas Peldbaseins</t>
  </si>
  <si>
    <t>Balvu Profesionālā un vispārizglītojošā vidusskola</t>
  </si>
  <si>
    <t>Atskurbtuves uzturēšana</t>
  </si>
  <si>
    <t>Latgales speciālās ekonomiskās zonas atbalsts</t>
  </si>
  <si>
    <t>Sociālie pakalpojumi</t>
  </si>
  <si>
    <t>Programma "Latvijas skolas soma"</t>
  </si>
  <si>
    <t>Balvu pilsētas autoceļu (ielu) uzturēšana</t>
  </si>
  <si>
    <t>Balvu pagasta autoceļu (ielu) uzturēšana</t>
  </si>
  <si>
    <t>Bērzkalnes pagasta autoceļu (ielu) uzturēšana</t>
  </si>
  <si>
    <t>Bērzpils pagasta autoceļu (ielu) uzturēšana</t>
  </si>
  <si>
    <t>Briežuciema pagasta autoceļu (ielu) uzturēšana</t>
  </si>
  <si>
    <t>Krišjāņu pagasta autoceļu (ielu) uzturēšana</t>
  </si>
  <si>
    <t>Kubulu pagasta autoceļu (ielu) uzturēšana</t>
  </si>
  <si>
    <t>Lazdulejas pagasta autoceļu (ielu) uzturēšana</t>
  </si>
  <si>
    <t>Tilžas pagasta autoceļu (ielu) uzturēšana</t>
  </si>
  <si>
    <t>Vectilžas pagasta autoceļu (ielu) uzturēšana</t>
  </si>
  <si>
    <t>Vīksnas pagasta autoceļu (ielu) uzturēšana</t>
  </si>
  <si>
    <t>Vides piesārņojuma novēršana un samazināšana (dabas resursu nodoklis)</t>
  </si>
  <si>
    <t>Balvu Kultūras un atpūtas centrs</t>
  </si>
  <si>
    <t>Norēķini ar citām pašvaldībām par izglītības pakalpojumiem</t>
  </si>
  <si>
    <t>Balvu Novada muzejs</t>
  </si>
  <si>
    <t>Balvu sākumskola</t>
  </si>
  <si>
    <t>Daudzfunkcionālais sociālo pakalpojumu centrs</t>
  </si>
  <si>
    <t>Preces un pakalpojumi</t>
  </si>
  <si>
    <t>Subsīdijas un dotācijas</t>
  </si>
  <si>
    <t>Pamatkapitāla veidošana</t>
  </si>
  <si>
    <t>Valsts un pašvaldības vienotais klientu apkalpošanas centrs</t>
  </si>
  <si>
    <t>Šķilbēnu komunālā saimniecība</t>
  </si>
  <si>
    <t>Upītes FVP</t>
  </si>
  <si>
    <t>Rugāju sociālās aprūpes centrs</t>
  </si>
  <si>
    <t>Viļakas sociālās aprūpes centrs</t>
  </si>
  <si>
    <t>Šķilbēnu sociālās aprūpes māja</t>
  </si>
  <si>
    <t>Lazdukalna saieta nams</t>
  </si>
  <si>
    <t>Viļakas muzejs</t>
  </si>
  <si>
    <t>Algotie pagaidu sabiedriskie darbi</t>
  </si>
  <si>
    <t>Lazdukalna pagasta komunālā saimniecība</t>
  </si>
  <si>
    <t>Rugāju pagasta komunālā saimniecība</t>
  </si>
  <si>
    <t>Lazdukalna pagasta ūdensapgāde</t>
  </si>
  <si>
    <t>Rugāju pagasta ūdensapgāde</t>
  </si>
  <si>
    <t>Kupravas feldšeru punkts</t>
  </si>
  <si>
    <t>Baltinavas muzejs</t>
  </si>
  <si>
    <t>Baltinavas kultūras nams</t>
  </si>
  <si>
    <t>Žīguru kultūras nams</t>
  </si>
  <si>
    <t>Viļakas kultūras nams</t>
  </si>
  <si>
    <t>Medņevas Tautas nams</t>
  </si>
  <si>
    <t>Šķilbēnu pagasta kultūras centrs "Rekova"</t>
  </si>
  <si>
    <t>Skolēnu pārvadāšana Šķilbēnu pārvalde</t>
  </si>
  <si>
    <t>Rekavas vidusskola</t>
  </si>
  <si>
    <t>Projekts "Atbalsts izglītojamo individuālo kompetenču attīstībai"</t>
  </si>
  <si>
    <t>Viļakas pirmsskolas izglītības iestāde "Namiņš"</t>
  </si>
  <si>
    <t>Eglaines pamatskola</t>
  </si>
  <si>
    <t>Izglītības pārvalde</t>
  </si>
  <si>
    <t>Baltinavas vidusskola</t>
  </si>
  <si>
    <t>Bērzpils pamatskola</t>
  </si>
  <si>
    <t>Rugāju vidusskola</t>
  </si>
  <si>
    <t>Ziemeļlatgales sporta centrs</t>
  </si>
  <si>
    <t>Izglītības pārvaldes pasākumi</t>
  </si>
  <si>
    <t>Kultūras pārvaldes pasākumi</t>
  </si>
  <si>
    <t>Bijušo pagastu padomju un pilsētu domju vadītāju pabalsti</t>
  </si>
  <si>
    <t>Svētku un atceres dienu pabalsti</t>
  </si>
  <si>
    <t>Pašvaldības aizņēmumu apkalpošana un procentu maksa</t>
  </si>
  <si>
    <t>Tehniskās dokumentācijas izstrāde</t>
  </si>
  <si>
    <t>Sociālā pārvalde</t>
  </si>
  <si>
    <t>Dienas sociālas aprūpes centrs Benislavā</t>
  </si>
  <si>
    <t>Dienas aprūpes centrs un grupu dzīvokļi (māja) Viļakā</t>
  </si>
  <si>
    <t>Zobārstniecības kabinets  (Rugāju pagastā)</t>
  </si>
  <si>
    <t>Novada teritorijas īpašuma vadība</t>
  </si>
  <si>
    <t xml:space="preserve">Biznesa ideju konkurss </t>
  </si>
  <si>
    <t>Rugāju tautas nams</t>
  </si>
  <si>
    <t>Skolēnu pārvadājumi Krišjāņu pagastā</t>
  </si>
  <si>
    <t>Novada teritorijas apsaimniekošana</t>
  </si>
  <si>
    <t>Skolēnu pārvadājumi Lazdulejas pagastā</t>
  </si>
  <si>
    <t>Skolēnu pārvadājumi Bērzkalnes pagastā</t>
  </si>
  <si>
    <t>Skolēnu pārvadājumi Bērzpils pagastā</t>
  </si>
  <si>
    <t>Rubeņu Tautas nams</t>
  </si>
  <si>
    <t>Vecumu pagasta komunālā saimniecība</t>
  </si>
  <si>
    <t>Lazdulejas Saieta nams</t>
  </si>
  <si>
    <t>Bērzpils Saieta nams</t>
  </si>
  <si>
    <t>Skolēnu pārvadājumi Vīksnas pagastā</t>
  </si>
  <si>
    <t>Skolēnu pārvadājumi Rugāju pagastā</t>
  </si>
  <si>
    <t>Baltinavas pagasta ūdensapgāde</t>
  </si>
  <si>
    <t>Balvu pagasta ūdensapgāde</t>
  </si>
  <si>
    <t>Naudaskalna Tautas nams</t>
  </si>
  <si>
    <t>Ziemeļlatgales sporta centra pasākumi</t>
  </si>
  <si>
    <t>Vectilžas Sporta un atpūtas centrs</t>
  </si>
  <si>
    <t>Skolēnu pārvadājumi Vectilžas pagastā</t>
  </si>
  <si>
    <t>Skolēnu pārvadājumi Baltinavas pagastā</t>
  </si>
  <si>
    <t>Skolēnu pārvadāšana Viļakā</t>
  </si>
  <si>
    <t>Komisiju darba samaksa</t>
  </si>
  <si>
    <t>Skolēnu pārvadājumi Kubulu pagastā</t>
  </si>
  <si>
    <t>Skolēnu pārvadājumi Tilžas pagastā</t>
  </si>
  <si>
    <t>Tilžas kultūras un vēstures nams</t>
  </si>
  <si>
    <t>Lazdukalna pagasta autoceļu (ielu) uzturēšana</t>
  </si>
  <si>
    <t>Medņevas pagasta autoceļu (ielu) uzturēšana</t>
  </si>
  <si>
    <t>Kupravas pagasta autoceļu (ielu) uzturēšana</t>
  </si>
  <si>
    <t>Rugāju pagasta autoceļu (ielu) uzturēšana</t>
  </si>
  <si>
    <t>Baltinavas pagasta autoceļu (ielu) uzturēšana</t>
  </si>
  <si>
    <t>Susāju pagasta autoceļu (ielu) uzturēšana</t>
  </si>
  <si>
    <t>Šķilbēnu pagasta autoceļu (ielu) uzturēšana</t>
  </si>
  <si>
    <t>Žīguru pagasta autoceļu (ielu) uzturēšana</t>
  </si>
  <si>
    <t>Viļakas pilsētas autoceļu (ielu) uzturēšana</t>
  </si>
  <si>
    <t>Vecumu pagasta autoceļu (ielu) uzturēšana</t>
  </si>
  <si>
    <t>Balvu pilsētas stadiona uzturēšana</t>
  </si>
  <si>
    <t>Balvu pensionāru biedrība</t>
  </si>
  <si>
    <t>Balvu Teritoriālā Invalīdu biedrība</t>
  </si>
  <si>
    <t>Tilžas pamatskola</t>
  </si>
  <si>
    <t>Tilžas pamatskolas pirmsskolas izglītības grupas Tilžā</t>
  </si>
  <si>
    <t>Balvu novada Bērnu un jauniešu centrs</t>
  </si>
  <si>
    <t>Sociālie pabalsti</t>
  </si>
  <si>
    <t>Klasifikācijas kods</t>
  </si>
  <si>
    <t>Iestādes un pasākumi</t>
  </si>
  <si>
    <t>Finansēšanas avots</t>
  </si>
  <si>
    <t xml:space="preserve">Kopā </t>
  </si>
  <si>
    <t>Vispārējie ieņēmumi</t>
  </si>
  <si>
    <t xml:space="preserve">Budžeta iestāžu ieņēmumi </t>
  </si>
  <si>
    <t>Valsts un pašvaldību transferti</t>
  </si>
  <si>
    <t>Aizņēmumi</t>
  </si>
  <si>
    <t>01.000</t>
  </si>
  <si>
    <t>Vispārējie valdības dienesti</t>
  </si>
  <si>
    <t>03.000</t>
  </si>
  <si>
    <t>Sabiedriskā kārtība un drošība</t>
  </si>
  <si>
    <t>04.000</t>
  </si>
  <si>
    <t>Ekonomiskā darbība</t>
  </si>
  <si>
    <t>Balvu novada Būvvalde</t>
  </si>
  <si>
    <t>Biznesa ideju konkurss</t>
  </si>
  <si>
    <t>05.000</t>
  </si>
  <si>
    <t>Vides aizsardzība</t>
  </si>
  <si>
    <t>06.000</t>
  </si>
  <si>
    <t>Pašvaldības teritoriju un mājokļu apsaimniekošana</t>
  </si>
  <si>
    <t>Ielu apgaismojums</t>
  </si>
  <si>
    <t xml:space="preserve">Pārējā citur neklasificētā teritoriju un mājokļu apsaimniekošanas darbība </t>
  </si>
  <si>
    <t>Bērzkalnes pagasta komunālā saimniecība</t>
  </si>
  <si>
    <t>07.000</t>
  </si>
  <si>
    <t>Veselība</t>
  </si>
  <si>
    <t>Briežuciema feldšeru veselības punkts</t>
  </si>
  <si>
    <t>Krišjāņu feldšeru veselības punkts</t>
  </si>
  <si>
    <t>Kubulu feldšeru veselības punkts</t>
  </si>
  <si>
    <t>Skujetnieku feldšeru veselības punkts</t>
  </si>
  <si>
    <t>Vectilžas feldšeru veselības punkts</t>
  </si>
  <si>
    <t>Vīksnas feldšeru veselības punkts</t>
  </si>
  <si>
    <t>Zobārstniecības kabinets (Rugāji)</t>
  </si>
  <si>
    <t>08.000</t>
  </si>
  <si>
    <t>Atpūtas un sporta pasākumi</t>
  </si>
  <si>
    <t>Kultūra</t>
  </si>
  <si>
    <t>Bibliotēkas</t>
  </si>
  <si>
    <t>Muzeji</t>
  </si>
  <si>
    <t>Balvu novada muzejs</t>
  </si>
  <si>
    <t>Kultūras nami</t>
  </si>
  <si>
    <t>Briežuciema pagasta Tautas nams</t>
  </si>
  <si>
    <t>Lazdulejas saieta nams</t>
  </si>
  <si>
    <t>Nemateriālās kultūras mantojuma centrs "Upīte"</t>
  </si>
  <si>
    <t>Balvu kultūras un atpūtas centra pasākumi</t>
  </si>
  <si>
    <t>08.600</t>
  </si>
  <si>
    <t>Pārējā citur neklasificētā kultūra</t>
  </si>
  <si>
    <t>09.000</t>
  </si>
  <si>
    <t>Izglītība</t>
  </si>
  <si>
    <t>Pirmsskolas izglītība</t>
  </si>
  <si>
    <t>Pamatizglītība, vispārējā un profesionālā izglītība</t>
  </si>
  <si>
    <t>Eglaines pamatkola</t>
  </si>
  <si>
    <t>Vidusskolas</t>
  </si>
  <si>
    <t>Balvu profesionālā un vispāizglītojošā vidusskola</t>
  </si>
  <si>
    <t>Interešu un profesionālās ievirzes izglītība</t>
  </si>
  <si>
    <t>Peldbaseins</t>
  </si>
  <si>
    <t>Balvu Bērnu un jauniešu centrs</t>
  </si>
  <si>
    <t>Pārējā izglītības vadība</t>
  </si>
  <si>
    <t>Pārējie citur neklasificētie izglītības pakalpojumi</t>
  </si>
  <si>
    <t>10.000</t>
  </si>
  <si>
    <t>Sociālā aizsardzība</t>
  </si>
  <si>
    <t>Pārējais citur neklasificēts atbalsts sociāli atstumtām personām</t>
  </si>
  <si>
    <t>Dotācijas biedrībām aktivitāšu atbalstam</t>
  </si>
  <si>
    <t>Asistenta pakalpojumi personām ar invaliditāti</t>
  </si>
  <si>
    <t>Kupravas pagasta komunālā saimniecība</t>
  </si>
  <si>
    <t>Medņevas pagasta komunālā saimniecība</t>
  </si>
  <si>
    <t>Šķilbēnu pagasta komunālā saimniecība</t>
  </si>
  <si>
    <t>Ieņēmumi</t>
  </si>
  <si>
    <t>Ieņēmumu veidi</t>
  </si>
  <si>
    <t>I</t>
  </si>
  <si>
    <t>IEŅĒMUMI KOPĀ</t>
  </si>
  <si>
    <t>Nodokļu ieņēmumi</t>
  </si>
  <si>
    <t>1.0.0.0.</t>
  </si>
  <si>
    <t>IENĀKUMA NODOKĻI</t>
  </si>
  <si>
    <t>1.1.1.0</t>
  </si>
  <si>
    <t>Iedzīvotāju ienākuma nodoklis</t>
  </si>
  <si>
    <t>1.1.1.2</t>
  </si>
  <si>
    <t>4.0.0.0.</t>
  </si>
  <si>
    <t>ĪPAŠUMA NODOKĻI</t>
  </si>
  <si>
    <t>4.1.0.0</t>
  </si>
  <si>
    <t>Nekustamā īpašuma nodoklis</t>
  </si>
  <si>
    <t>4.1.1.0</t>
  </si>
  <si>
    <t>Nekustamā īpašuma nodoklis par zemi</t>
  </si>
  <si>
    <t>4.1.1.1</t>
  </si>
  <si>
    <t>Nekustamā īpašuma nodokļa par zemi kārtējā saimnieciskā gada ieņēmumi</t>
  </si>
  <si>
    <t>4.1.1.2</t>
  </si>
  <si>
    <t>4.1.2.0</t>
  </si>
  <si>
    <t>Nekustamā īpašuma nodokļi par ēkām</t>
  </si>
  <si>
    <t>4.1.2.1</t>
  </si>
  <si>
    <t>Nekustamā īpašuma nodoklis par ēkām kārtējā  gada maksājumi</t>
  </si>
  <si>
    <t>t.sk. par inženierbūvēm</t>
  </si>
  <si>
    <t>4.1.2.2</t>
  </si>
  <si>
    <t>4.1.3.0</t>
  </si>
  <si>
    <t>Nekustamā īpašuma nodokļi par mājokļiem</t>
  </si>
  <si>
    <t>4.1.3.1.</t>
  </si>
  <si>
    <t>Nekustamā īpašuma nodokļa par mājokļiem kārtējā saimnieciskā gada ieņēmumi</t>
  </si>
  <si>
    <t>4.1.3.2.</t>
  </si>
  <si>
    <t>5.0.0.0.</t>
  </si>
  <si>
    <t xml:space="preserve">NODOKĻI PAR PAKALPOJUMIEM UN PRECĒM </t>
  </si>
  <si>
    <t>5.4.0.0.</t>
  </si>
  <si>
    <t>Nodokļi par atsevišķām precēm un pakalpojumu veidiem</t>
  </si>
  <si>
    <t>5.4.1.0</t>
  </si>
  <si>
    <t>Azartspēļu nodoklis</t>
  </si>
  <si>
    <t>5.5.0.0.</t>
  </si>
  <si>
    <t>Nodokļi un maksājumi par tiesībām lietot atsevišķas preces</t>
  </si>
  <si>
    <t>5.5.3.0.</t>
  </si>
  <si>
    <t>Dabas resursu nodoklis</t>
  </si>
  <si>
    <t>Nenodokļu ieņēmumi</t>
  </si>
  <si>
    <t>8.0.0.0.</t>
  </si>
  <si>
    <t>Ieņēmumi no uzņēmējdarbības un īpašuma</t>
  </si>
  <si>
    <t>8.6.0.0.</t>
  </si>
  <si>
    <t>Procentu ieņēmumi par depozītiem, kontu atlikumiem, valsts parāda vērtspapīriem un atlikto maksājumu</t>
  </si>
  <si>
    <t>9.0.0.0.</t>
  </si>
  <si>
    <t>VALSTS (PAŠVALDĪBU) NODEVAS UN KANCELEJAS NODEVAS</t>
  </si>
  <si>
    <t>9.4.0.0.</t>
  </si>
  <si>
    <t>9.4.2.0.</t>
  </si>
  <si>
    <t>Valsts nodeva par apliecinājumiem un citu funkciju pildīšanu bāriņtiesās</t>
  </si>
  <si>
    <t>9.4.5.0.</t>
  </si>
  <si>
    <t>Valsts nodeva par civilstāvokļa aktu reģistrēšanu, grozīšanu un papildināšanu</t>
  </si>
  <si>
    <t>9.4.9.0.</t>
  </si>
  <si>
    <t>Pārējās valsts nodevas, kuras ieskaita pašvaldību budžetos</t>
  </si>
  <si>
    <t>9.4.9.1.</t>
  </si>
  <si>
    <t>Nodeva par dzīves vietas deklarēšanu</t>
  </si>
  <si>
    <t>9.5.0.0.</t>
  </si>
  <si>
    <t>Pašvaldības nodevas</t>
  </si>
  <si>
    <t>9.5.1.2.</t>
  </si>
  <si>
    <t>Pašvaldības nodeva par izklaidējoša rakstura pasākumu sarīkošanu publiskās vietās</t>
  </si>
  <si>
    <t>9.5.1.4.</t>
  </si>
  <si>
    <t>Pašvaldības nodeva par tirdzniecību publiskās vietās</t>
  </si>
  <si>
    <t>9.5.1.7.</t>
  </si>
  <si>
    <t>Pašvaldības nodeva par reklāmas,afišu un sludinājumu izvietošanu publiskajās vietās</t>
  </si>
  <si>
    <t>9.5.2.1.</t>
  </si>
  <si>
    <t>Pašvaldības nodeva par būvatļaujas saņemšanu</t>
  </si>
  <si>
    <t>9.5.2.9.</t>
  </si>
  <si>
    <t>Pārējās nodevas, ko uzliek pašvaldības</t>
  </si>
  <si>
    <t>10.0.0.0.</t>
  </si>
  <si>
    <t>NAUDAS SODI UN SANKCIJAS</t>
  </si>
  <si>
    <t>10.1.4.0.</t>
  </si>
  <si>
    <t xml:space="preserve">Naudas sodi, ko uzliek pašvaldības </t>
  </si>
  <si>
    <t>10.1.4.1.</t>
  </si>
  <si>
    <t>Naudas sodi, ko uzliek pašvaldības administratīvo pārkāpumu komisija</t>
  </si>
  <si>
    <t>10.1.5.0.</t>
  </si>
  <si>
    <t>Naudas sodi, ko uzliek pašvaldību institūcijas  par pārkāpumiem ceļu satiksmē</t>
  </si>
  <si>
    <t>12.0.0.0.</t>
  </si>
  <si>
    <t>PĀRĒJIE NENODOKĻU IEŅĒMUMI</t>
  </si>
  <si>
    <t>12.3.9.9.</t>
  </si>
  <si>
    <t>Pārējie dažādi nenodokļu ieņēmumi, kas nav iepriekš klasificēti šajā klasifikācijā</t>
  </si>
  <si>
    <t>12.3.9.9.4</t>
  </si>
  <si>
    <t>Pārējie ieņēmumi</t>
  </si>
  <si>
    <t>Ziemeļlatgales sporta centrs (pasākumi)</t>
  </si>
  <si>
    <t>13.0.0.0.</t>
  </si>
  <si>
    <t>IEŅĒMUMI NO VALSTS (PAŠVALDĪBAS) ĪPAŠUMA IZNOMĀŠANAS  PĀRDOŠANAS</t>
  </si>
  <si>
    <t>13.1.0.0.</t>
  </si>
  <si>
    <t>Ieņēmumi no ēku un būvju īpašuma pārdošanas</t>
  </si>
  <si>
    <t>13.2.0.0.</t>
  </si>
  <si>
    <t>Ieņēmumi no zemes, mežu īpašuma pārdošanas</t>
  </si>
  <si>
    <t>13.2.1.0.</t>
  </si>
  <si>
    <t>Ieņēmumi no zemes īpašuma pārdošanas</t>
  </si>
  <si>
    <t>17.0.0.0.</t>
  </si>
  <si>
    <t>NO VALSTS BUDŽETA DAĻĒJI FINANSĒTO PUBLISKO PERSONU UN BUDŽETA NEFINANSĒTO IESTĀŽU TRANSFERTI</t>
  </si>
  <si>
    <t>Dienas aprūpes centrs un grupu dzīvokļi Viļaka</t>
  </si>
  <si>
    <t>18.0.0.0.</t>
  </si>
  <si>
    <t>VALSTS BUDŽETA TRANSFERTI</t>
  </si>
  <si>
    <t>18.6.2.0.</t>
  </si>
  <si>
    <t>Pašvaldības saņemtie valsts budžeta transferti noteiktam mērķim</t>
  </si>
  <si>
    <t>Mērķdotācijas pašvaldību pamata un vispārējās izglītības iestāžu pedagogu darba samaksai un valsts sociālās apdrošināšanas obligātajām iemaksām</t>
  </si>
  <si>
    <t>Mērķdotācijas pašvaldību profesionālās pamatizglītības, arodizglītības un profesionālās vidējās izglītības programmu pedagogu darba samaksai un valsts sociālās apdrošināšanas obligātajām iemaksām</t>
  </si>
  <si>
    <t>Mērķdotācija interešu izglītības programmu pedagogu daļējai darba samaksai un valsts sociālās apdrošināšanas obligātajām iemaksām</t>
  </si>
  <si>
    <t>Mērķdotācija audžuģimenēm par bērna uzturnaudas palielināšanu</t>
  </si>
  <si>
    <t>Valsts dotācija autoceļu (ielu) uzturēšanai</t>
  </si>
  <si>
    <t>Valsts dotācija sporta skolai</t>
  </si>
  <si>
    <t>Valsts dotācija mūzikas un mākslas skolām</t>
  </si>
  <si>
    <t>MD māksliniecisko kolektīvu vadītāju darba samaksai un valsts sociālās apdrošināšanas obligātajām iemaksām</t>
  </si>
  <si>
    <t>Lazdukalna Saieta nams</t>
  </si>
  <si>
    <t>Vectilžas sporta un atpūtas centrs</t>
  </si>
  <si>
    <t>Valsts un pašvaldības vienotā klientu apkalpošanas centra uzturēšana</t>
  </si>
  <si>
    <t>Latvijas Skolas soma</t>
  </si>
  <si>
    <t>LM finansējums asistenta pakalpojumiem personām ar invaliditāti</t>
  </si>
  <si>
    <t>Valsts dotācija mājokļa pabalstam</t>
  </si>
  <si>
    <t>18.6.3.0.</t>
  </si>
  <si>
    <t>Pašvaldību no valsts budžeta iestādēm saņemtie transferti ES politiku instrumentu un pārējās ārvalstu finanšu palīdzības līdzfinansētajiem projektiem (pasākumiem)</t>
  </si>
  <si>
    <t>18.6.4.0.</t>
  </si>
  <si>
    <t>Pašvaldību budžetā saņemta dotācijas no pašvaldības finanšu izlīdzināšanas fonda</t>
  </si>
  <si>
    <t>Sociālās aprūpes centrs "Rugāji"</t>
  </si>
  <si>
    <t>Maksas pakalpojumi un citi pašu ieņēmumi</t>
  </si>
  <si>
    <t>21.3.0.0.</t>
  </si>
  <si>
    <t>Ieņēmumi no budžeta iestāžu sniegtajiem maksas pakalpojumiem un citi pašu ieņēmumi</t>
  </si>
  <si>
    <t>21.3.5.0.</t>
  </si>
  <si>
    <t>Maksa par izglītības pakalpojumiem</t>
  </si>
  <si>
    <t>21.3.5.1.</t>
  </si>
  <si>
    <t>Mācību maksa</t>
  </si>
  <si>
    <t>Balvu Mākslas skola</t>
  </si>
  <si>
    <t>Balvu Mūzikas skola</t>
  </si>
  <si>
    <t>21.3.5.2.</t>
  </si>
  <si>
    <t>Ieņēmumi no vecāku maksām</t>
  </si>
  <si>
    <t>Viļakas PII "Namiņš"</t>
  </si>
  <si>
    <t>Baltinavas vidusskolas pirmsskolas izglītības grupas</t>
  </si>
  <si>
    <t>21.3.7.0.</t>
  </si>
  <si>
    <t>Ieņēmumi par dokumentu izsniegšanu un kancelejas pakalpojumiem</t>
  </si>
  <si>
    <t>21.3.7.9.</t>
  </si>
  <si>
    <t>Ieņēmumi par pārējo dokumentu izsniegšanu un pārējiem kancelejas pakalpojumiem</t>
  </si>
  <si>
    <t>21.3.8.0.</t>
  </si>
  <si>
    <t>Ieņēmumi par nomu un īri</t>
  </si>
  <si>
    <t>21.3.8.1.</t>
  </si>
  <si>
    <t>Ieņēmumi par telpu nomu (novads)</t>
  </si>
  <si>
    <t>Valsts un pašvaldības vienotā klientu apkalpošanas centrs</t>
  </si>
  <si>
    <t>Vīksnas pagasta Tautas nams</t>
  </si>
  <si>
    <t>21.3.8.3.</t>
  </si>
  <si>
    <t>Ieņēmumi no kustamā īpašuma iznomāšanas</t>
  </si>
  <si>
    <t>21.3.8.4.</t>
  </si>
  <si>
    <t>Ieņēmumi par zemes nomu</t>
  </si>
  <si>
    <t>21.3.8.9.</t>
  </si>
  <si>
    <t>Pārējie ieņēmumi par nomu un īri</t>
  </si>
  <si>
    <t>21.3.9.0.</t>
  </si>
  <si>
    <t>Ieņēmumi par pārējiem budžeta iestāžu sniegtajiem maksas pakalpojumiem</t>
  </si>
  <si>
    <t>21.3.9.1.</t>
  </si>
  <si>
    <t>Maksa par personu uzturēšanos sociālās aprūpes iestādēs</t>
  </si>
  <si>
    <t>21.3.9.2.</t>
  </si>
  <si>
    <t>Ieņēmumi no pacientu iemaksām un sniegtajiem rehabilitācijas un ārstniecības pakalpojumiem</t>
  </si>
  <si>
    <t>Kubulu FVP</t>
  </si>
  <si>
    <t>Krišjāņu FVP</t>
  </si>
  <si>
    <t>Vectilžas FVP</t>
  </si>
  <si>
    <t>Vīksnas FVP</t>
  </si>
  <si>
    <t>21.3.9.3.</t>
  </si>
  <si>
    <t>Ieņēmumi par biļešu realizāciju</t>
  </si>
  <si>
    <t>Bērzpils pagasta Saieta nams</t>
  </si>
  <si>
    <t>Kubulu Kultūras nams</t>
  </si>
  <si>
    <t>Rugāju Tautas nams</t>
  </si>
  <si>
    <t>Nemateiālās kultūras mantojuma centrs "Upīte"</t>
  </si>
  <si>
    <t>21.3.9.4.</t>
  </si>
  <si>
    <t>Ieņēmumi par dzīvokļu un komunālajiem pakalpojumiem</t>
  </si>
  <si>
    <t>Balvu novada pašvaldība</t>
  </si>
  <si>
    <t>21.3.9.4.2.</t>
  </si>
  <si>
    <t>Ieņēmumi par komunālājiem pakalpojumiem</t>
  </si>
  <si>
    <t>`</t>
  </si>
  <si>
    <t>Vecumu komunālā saimniecība-notekūdeņu apsaimniekošana</t>
  </si>
  <si>
    <t>21.3.9.4.3.</t>
  </si>
  <si>
    <t>Apsaimniekošanas maksa</t>
  </si>
  <si>
    <t xml:space="preserve">21.3.9.9. </t>
  </si>
  <si>
    <t>Citi ieņēmumi par maksas pakalpojumiem</t>
  </si>
  <si>
    <t>21.3.9.9.1.</t>
  </si>
  <si>
    <t>Ieņēmumi par skolēnu ēdināšanu</t>
  </si>
  <si>
    <t>21.3.9.9.2.</t>
  </si>
  <si>
    <t>Peldbaseina ieņēmumi</t>
  </si>
  <si>
    <t>21.3.9.9.4.</t>
  </si>
  <si>
    <t>Maksas pakalpojumi</t>
  </si>
  <si>
    <t>Pašvaldības policija (atskurbtuve)</t>
  </si>
  <si>
    <t>21.3.9.9.7.</t>
  </si>
  <si>
    <t>Ieņēmumi no darbinieku ēdināšanas</t>
  </si>
  <si>
    <t xml:space="preserve">Bērzkalnes PII </t>
  </si>
  <si>
    <t>21.4.0.0.</t>
  </si>
  <si>
    <t>21.4.2.9.</t>
  </si>
  <si>
    <t>Pārējie iepriekš neklasificētie īpašiem mērķiem noteiktie ieņēmumi</t>
  </si>
  <si>
    <t>Rādītāju nosaukumi</t>
  </si>
  <si>
    <t>Budžeta kategoriju kodi</t>
  </si>
  <si>
    <t>I IEŅĒMUMI - kopā</t>
  </si>
  <si>
    <t xml:space="preserve">  Ieņēmumi no iedzīvotāju ienākuma nodokļa</t>
  </si>
  <si>
    <t xml:space="preserve">  1.1.0.0.</t>
  </si>
  <si>
    <t xml:space="preserve">  Nekustamā īpašuma nodoklis</t>
  </si>
  <si>
    <t xml:space="preserve">  4.1.0.0.</t>
  </si>
  <si>
    <t>NODOKĻI PAR PAKALPOJUMIEM UN PRECĒM</t>
  </si>
  <si>
    <t xml:space="preserve">  Nodokļi un maksājumi par tiesībām lietot atsevišķas preces</t>
  </si>
  <si>
    <t xml:space="preserve">  5.5.0.0.</t>
  </si>
  <si>
    <t>IEŅĒMUMI NO UZŅĒMĒJDARBĪBAS UN ĪPAŠUMA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</si>
  <si>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</si>
  <si>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</si>
  <si>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</si>
  <si>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</si>
  <si>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 xml:space="preserve">  Naudas sodi</t>
  </si>
  <si>
    <t xml:space="preserve">  10.1.0.0.</t>
  </si>
  <si>
    <t xml:space="preserve">  Citi dažādi nenodokļu ieņēmumi</t>
  </si>
  <si>
    <t>12.3.0.0.</t>
  </si>
  <si>
    <t>Ieņēmumi no valsts (pašvaldību) īpašuma iznomāšanas, pārdošanas un no nodokļu pamatparāda kapitalizācijas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</si>
  <si>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</si>
  <si>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</si>
  <si>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</si>
  <si>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</si>
  <si>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>No valsts budžeta daļēji finansēto atvasināto publisko personu un budžeta nefinansēto iestāžu transferti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</si>
  <si>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</si>
  <si>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</si>
  <si>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</si>
  <si>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 xml:space="preserve">  Pašvaldību saņemtie transferti no valsts budžeta</t>
  </si>
  <si>
    <t xml:space="preserve">  18.6.0.0.</t>
  </si>
  <si>
    <t>Budžeta iestāžu ieņēmumi</t>
  </si>
  <si>
    <t>21.0.0.0.</t>
  </si>
  <si>
    <t xml:space="preserve">  Ieņēmumi no budžeta iestāžu sniegtajiem maksas pakalpojumiem un citi pašu ieņēmumi</t>
  </si>
  <si>
    <t xml:space="preserve">  21.3.0.0.</t>
  </si>
  <si>
    <t xml:space="preserve">  Pārējie 21.3.0.0.grupā neklasificētie budžeta iestāžu ieņēmumi par budžeta iestāžu sniegtajiem maksas pakalpojumiem un citi pašu ieņēmumi</t>
  </si>
  <si>
    <t xml:space="preserve">  21.4.0.0.</t>
  </si>
  <si>
    <t>II IZDEVUMI - kopā</t>
  </si>
  <si>
    <t/>
  </si>
  <si>
    <t>Izdevumi atbilstoši funkcionālajām kategorijām</t>
  </si>
  <si>
    <t>Teritoriju un mājokļu apsaimniekošana</t>
  </si>
  <si>
    <t>Atpūta, kultūra un reliģija</t>
  </si>
  <si>
    <t>Izdevumi atbilstoši ekonomiskajām kategorijām</t>
  </si>
  <si>
    <t>Atlīdzība</t>
  </si>
  <si>
    <t>1000</t>
  </si>
  <si>
    <t>2000</t>
  </si>
  <si>
    <t>3000</t>
  </si>
  <si>
    <t>Procentu izdevumi</t>
  </si>
  <si>
    <t>4000</t>
  </si>
  <si>
    <t>5000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</si>
  <si>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</si>
  <si>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</si>
  <si>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</si>
  <si>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</si>
  <si>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</si>
  <si>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</t>
  </si>
  <si>
    <t>F20010000</t>
  </si>
  <si>
    <t xml:space="preserve">  Naudas līdzekļi</t>
  </si>
  <si>
    <t xml:space="preserve">  F21010000</t>
  </si>
  <si>
    <t xml:space="preserve">  Pieprasījuma noguldījumi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</si>
  <si>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</si>
  <si>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</si>
  <si>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</si>
  <si>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</si>
  <si>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>F40020000</t>
  </si>
  <si>
    <t xml:space="preserve">  Saņemtie aizņēmumi</t>
  </si>
  <si>
    <t xml:space="preserve">  Saņemto aizņēmumu atmaksa</t>
  </si>
  <si>
    <t xml:space="preserve">  F40020020</t>
  </si>
  <si>
    <t>Valsts dotācija sociālās aprūpes centru iemītniekiem</t>
  </si>
  <si>
    <t>F40020010</t>
  </si>
  <si>
    <t>Atlikums             uz gada sākumu</t>
  </si>
  <si>
    <t>Valsts dotācija Ukrainas civiliedzīvotāju izmitināšanas iespējām</t>
  </si>
  <si>
    <t>Ukrainas civiliedzīvotāju izmitināšanas iespējām</t>
  </si>
  <si>
    <t>Kubulu PII Ieviņa</t>
  </si>
  <si>
    <t>Atbalsts Ukrainas civiliedzīvotājiem un izmitināšanas iespējām</t>
  </si>
  <si>
    <t>Ieņēmumi par nedzīvojamā nekustamā īpašuma nomu</t>
  </si>
  <si>
    <t>PAŠVALDĪBU BUDŽETU TRANSFERTI</t>
  </si>
  <si>
    <t>19.0.0.0.</t>
  </si>
  <si>
    <t>19.2.0.0.01.</t>
  </si>
  <si>
    <t>Ieņēmumi izglītības funkciju nodoršināšanai</t>
  </si>
  <si>
    <t>Pašvaldību budžetu transferti</t>
  </si>
  <si>
    <t>19.0.0.0</t>
  </si>
  <si>
    <t>Pašvaldību saņemtie transferti no citām pašvaldībām</t>
  </si>
  <si>
    <t>19.2.0.0.</t>
  </si>
  <si>
    <t>Balvu sporta skola trenažieru zāles izmantošanu</t>
  </si>
  <si>
    <t>Tilžas pamatskolas Tilžas pirmsskolas grupa</t>
  </si>
  <si>
    <t>Rekavas vidusskola pirmsskolas grupas</t>
  </si>
  <si>
    <t>Tilžas pamatskolas Tilžas pirmsskolas grupas</t>
  </si>
  <si>
    <t>Autoceļu (ielu) uzturēšanas līdzekļu rezerves fonds</t>
  </si>
  <si>
    <t>Viļakas vidusskola</t>
  </si>
  <si>
    <t>Pašvaldības līdzdalības budžets</t>
  </si>
  <si>
    <t>Eglaines pamatskolas pirmsskolas grupas</t>
  </si>
  <si>
    <t>Rugāju vidusskolas pirmsskolas grupas</t>
  </si>
  <si>
    <t>Lazdulejas komunālā saimniecība.</t>
  </si>
  <si>
    <t>Lazdukalna pagasta apgaismojuma un autoceļu (ielu) uzturēšana</t>
  </si>
  <si>
    <t>Rubeņu tautas nams</t>
  </si>
  <si>
    <t xml:space="preserve">Pansionāts "Balvi" </t>
  </si>
  <si>
    <t xml:space="preserve">Tilžas pagasta komunālā saimniecība </t>
  </si>
  <si>
    <t xml:space="preserve">Balvu Profesionālā un vispārizglītojošā vidusskola </t>
  </si>
  <si>
    <t xml:space="preserve">Vīksnas pagasta komunālā saimniecība </t>
  </si>
  <si>
    <t xml:space="preserve">Sporta skolas peldbaseins </t>
  </si>
  <si>
    <t xml:space="preserve">Balvu sākumskola </t>
  </si>
  <si>
    <t xml:space="preserve">Balvu Kultūras un atpūtas centrs </t>
  </si>
  <si>
    <t xml:space="preserve">Baltinavas kultūras nams </t>
  </si>
  <si>
    <t xml:space="preserve">Balvu Novada muzejs </t>
  </si>
  <si>
    <t>Sociālās mājas</t>
  </si>
  <si>
    <t xml:space="preserve">Bērzpils pamatskola </t>
  </si>
  <si>
    <t xml:space="preserve">Bērzkalnes pagasta komunālā saimniecība </t>
  </si>
  <si>
    <t xml:space="preserve">Kupravas pagasta komunālā saimniecība </t>
  </si>
  <si>
    <t xml:space="preserve">Šķilbēnu pagasta komunālā saimniecība </t>
  </si>
  <si>
    <t xml:space="preserve">Vecumu komunālā saimniecība </t>
  </si>
  <si>
    <t xml:space="preserve">Sociālā pārvalde </t>
  </si>
  <si>
    <t xml:space="preserve">Balvu Centrālā bibliotēka </t>
  </si>
  <si>
    <t>Balvu kultūras un atpūtas centra kultūras pasākumi</t>
  </si>
  <si>
    <t xml:space="preserve">Skolēnu pārvadāšana Šķilbēnu pagasta pārvalde </t>
  </si>
  <si>
    <t xml:space="preserve">Skolēnu pārvadāšana Viļakā </t>
  </si>
  <si>
    <t xml:space="preserve">Rugāju pagasta komunālā saimniecība </t>
  </si>
  <si>
    <t xml:space="preserve">Viļakas muzejs </t>
  </si>
  <si>
    <t xml:space="preserve">Baltinavas muzejs </t>
  </si>
  <si>
    <t>17.2.0.0</t>
  </si>
  <si>
    <t>Vēlēšanu komisija</t>
  </si>
  <si>
    <t>Sociāli pakalpojumi</t>
  </si>
  <si>
    <t>21.0.0.0</t>
  </si>
  <si>
    <t>Latvijas neredzīgo biedrība</t>
  </si>
  <si>
    <t>Balvu novada domes</t>
  </si>
  <si>
    <t>Daudzfunkcionālais  sociālo pakalpojumu centrs</t>
  </si>
  <si>
    <t>Rekavas  komunālā saimniecība notekūdeņi</t>
  </si>
  <si>
    <t>Skolēnu nodarbinātība vasarā</t>
  </si>
  <si>
    <t>Valsts dotācija asistentu pakalpojumu nodrošināšanai</t>
  </si>
  <si>
    <t xml:space="preserve">    F22010000</t>
  </si>
  <si>
    <t>Stacijas  pamatskola</t>
  </si>
  <si>
    <t>Balvu pilsētas teritorijas apsaimniekošana</t>
  </si>
  <si>
    <t>Balvu muižas ēkas saimnieciskie izdevumi</t>
  </si>
  <si>
    <t>Viļakas pirmsskolas izglītības iestāde "Namiņš" Žīguru grupa</t>
  </si>
  <si>
    <t>Viļakas PII "Namiņš" Žīguru grupa</t>
  </si>
  <si>
    <t>9.4.3.0.</t>
  </si>
  <si>
    <t>Valsts nodeva par uzvārda, vārda un tautības ieraksta maiņu personu apliecinošos dokumentos</t>
  </si>
  <si>
    <t>9.4.6.0.</t>
  </si>
  <si>
    <t>Valsts nodeva par speciālu atļauju (licenču) izsniegšanu</t>
  </si>
  <si>
    <t>Balvu apvienības pārvalde</t>
  </si>
  <si>
    <t>Baltinavas apvienības pārvalde</t>
  </si>
  <si>
    <t>Rugāju apvienības pārvalde</t>
  </si>
  <si>
    <t>Viļakas apvienības pārvalde</t>
  </si>
  <si>
    <t>Rugāju  apvienības pārvalde</t>
  </si>
  <si>
    <t>Bezemisiju  transportlīdzekļa iegāde skolēnu pārvadāšanai Balvu novadā</t>
  </si>
  <si>
    <t>SAM 5.1.1.1  Publiskās infrastruktūras kvalitātes uzlabošana uzņēmējdarbības atbalstam Balvos</t>
  </si>
  <si>
    <t>Balvu valsts ģimnāzijas projekts "Our Baltic Sea"NPJR-2024/10114</t>
  </si>
  <si>
    <t>Ielu apgaismojums Viļakas pilsētā</t>
  </si>
  <si>
    <t>Susāju pagasta komunālā saimniecība</t>
  </si>
  <si>
    <t>Žīguru pagasta komunālā saimniecība</t>
  </si>
  <si>
    <t>Medņevas pagasta  komunālā saimniecība</t>
  </si>
  <si>
    <t>Baltinavas pagasta komunālā saimniecība</t>
  </si>
  <si>
    <t>Viļakas pilsētas komunālā saimniecība</t>
  </si>
  <si>
    <t>Bērzkalnes  pagasta ūdensapgāde</t>
  </si>
  <si>
    <t>Bērzpils  pagasta ūdensapgāde</t>
  </si>
  <si>
    <t>Briežuciema  pagasta ūdensapgāde</t>
  </si>
  <si>
    <t>Krišjāņu  pagasta ūdensapgāde</t>
  </si>
  <si>
    <t>Kubulu  pagasta ūdensapgāde</t>
  </si>
  <si>
    <t>Kupravas  pagasta ūdensapgāde</t>
  </si>
  <si>
    <t>Lazdulejas  pagasta ūdensapgāde</t>
  </si>
  <si>
    <t>Medņevas  pagasta ūdensapgāde</t>
  </si>
  <si>
    <t>Rekavas  ciema ūdensapgāde</t>
  </si>
  <si>
    <t>Šķilbēnu  pagasta ūdensapgāde</t>
  </si>
  <si>
    <t>Tilžas  pagasta ūdensapgāde</t>
  </si>
  <si>
    <t>Upītes ciema  ūdensapgāde</t>
  </si>
  <si>
    <t>Vectilžas  pagasta ūdensapgāde</t>
  </si>
  <si>
    <t>Vecumu  pagasta ūdensapgāde</t>
  </si>
  <si>
    <t>Viļakas pilsētas  ūdensapgāde</t>
  </si>
  <si>
    <t>Vīksnas  pagasta ūdensapgāde</t>
  </si>
  <si>
    <t xml:space="preserve"> Žīguru  pagasta ūdensapgāde</t>
  </si>
  <si>
    <t>Rekavas ciema ūdensapgāde</t>
  </si>
  <si>
    <t>Viļakas pilsētas ūdensapgāde</t>
  </si>
  <si>
    <t>Upītes  pagasta ūdensapgāde</t>
  </si>
  <si>
    <t>Krišjāņu pagasta ūdensapgāde</t>
  </si>
  <si>
    <t>Baltinavas pagasta notekūdeņu apsaimniekošana</t>
  </si>
  <si>
    <t>Bērzkalnes pagasta notekūdeņu apsaimniekošana</t>
  </si>
  <si>
    <t>Bērzpils pagasta notekūdeņu apsaimniekošana</t>
  </si>
  <si>
    <t>Briežuciema pagasta notekūdeņu apsaimniekošana</t>
  </si>
  <si>
    <t>Kubulu pagasta notekūdeņu apsaimniekošana</t>
  </si>
  <si>
    <t>Kupravas pagasta notekūdeņu apsaimniekošana</t>
  </si>
  <si>
    <t>Krišjāņu pagasta notekūdeņu apsaimniekošana</t>
  </si>
  <si>
    <t>Lazdukalna pagasta notekūdeņu apsaimniekošana</t>
  </si>
  <si>
    <t>Lazdulejas pagasta notekūdeņu apsaimniekošana</t>
  </si>
  <si>
    <t>Medņevas pagasta notekūdeņu apsaimniekošana</t>
  </si>
  <si>
    <t>Rugāju pagasta notekūdeņu apsaimniekošana</t>
  </si>
  <si>
    <t>Viļakas pilsētas notekūdeņu apsaimniekošana</t>
  </si>
  <si>
    <t>Vīksnas pagasta notekūdeņu apsaimniekošana</t>
  </si>
  <si>
    <t>Žīguru pagasta notekūdeņu apsaimniekošana</t>
  </si>
  <si>
    <t>Viļakas pilsētas atkritumu apsaimniekošana</t>
  </si>
  <si>
    <t>Balvu novada teritorijas plānojuma izstrāde</t>
  </si>
  <si>
    <t>Projekts "Sociālo mājokļu atjaunošana vai jauno sociālo mājokļu būvniecība Balvu novadā"</t>
  </si>
  <si>
    <t>Vides pieejamības nodrošināšana Balvu novada publisko pakalpojumu ēkās</t>
  </si>
  <si>
    <t>Valsts sociālās apdrošināšanas obligātās iemaksas no nepilnām likmēm</t>
  </si>
  <si>
    <t xml:space="preserve"> Naudas līdzekļu atlikums gada sākumā</t>
  </si>
  <si>
    <t xml:space="preserve"> Naudas līdzekļu atlikums perioda beigās</t>
  </si>
  <si>
    <t xml:space="preserve">    F21010000 AS</t>
  </si>
  <si>
    <t xml:space="preserve">    F21010000</t>
  </si>
  <si>
    <t>Projekts "Sabiedrības digitālo prasmju attīstība"</t>
  </si>
  <si>
    <t>Projekts "Esi vesels Balvu novadā!"</t>
  </si>
  <si>
    <t>Viļakas vidusskolas Erasmus+ projekts "SEED"</t>
  </si>
  <si>
    <t>Biedrība "Sudraba pakavi"</t>
  </si>
  <si>
    <t>Finansējums nevalstiskajām organizācijām projektu īstenošanai</t>
  </si>
  <si>
    <t>9 Starptaustiskais mākslas plenērs "Valdis Bušs 2025"</t>
  </si>
  <si>
    <t>Izglītības iestāžu datortehnikas iegāde</t>
  </si>
  <si>
    <t>Vīksnas pagasta ūdensapgāde</t>
  </si>
  <si>
    <t>Žīguru pagasta ūdensapgāde</t>
  </si>
  <si>
    <t>Upītes feldšeru veselības punkts</t>
  </si>
  <si>
    <t>Kupravas feldšeru veselības punkts</t>
  </si>
  <si>
    <t>Krišjānu feldšeru veselības punkts</t>
  </si>
  <si>
    <t xml:space="preserve">Vispārējie pamatbudžeta ieņēmumi (EUR) </t>
  </si>
  <si>
    <t xml:space="preserve">Maksas pakalpojumi un pašu ieņēmumi (EUR) </t>
  </si>
  <si>
    <t>Valsts mērķdotācijas (EUR)</t>
  </si>
  <si>
    <t>Centrālā bibliotēka dotācija pielāgotās literatūras bibliotēkas darbinieka darba algai un saimnieciskajiem izdevumiem</t>
  </si>
  <si>
    <t>Feldšeru veselības punktu dotācija</t>
  </si>
  <si>
    <t>KOPĀ (EUR) 2025</t>
  </si>
  <si>
    <t>Atalgojums (2026)</t>
  </si>
  <si>
    <t>DDVSAOI (2026)</t>
  </si>
  <si>
    <t>Preces un pakalpojumi (2026)</t>
  </si>
  <si>
    <t>Mācību, darba un dienesta komandējumi, darba braucieni (2026)</t>
  </si>
  <si>
    <t>Pakalpojumi (2026)</t>
  </si>
  <si>
    <t>Krājumi, materiāli, energoresursi, preces, biroja preces un inventārs (2026)</t>
  </si>
  <si>
    <t>Izdevumi periodikas iegādei bibliotēku krājumiem (2026)</t>
  </si>
  <si>
    <t>Budžeta iestāžu nodokļu, nodevu un sankciju maksājumi (2026)</t>
  </si>
  <si>
    <t>Subsīdijas un dotācijas (2026)</t>
  </si>
  <si>
    <t>Procentu maksājumi (2026)</t>
  </si>
  <si>
    <t>Pamatkapitāla veidošana (2026)</t>
  </si>
  <si>
    <t>Sociālā rakstura maksājumi un kompensācijas (2026)</t>
  </si>
  <si>
    <t>Transferti (2026)</t>
  </si>
  <si>
    <t>Atlīdzība (2026)</t>
  </si>
  <si>
    <t>Apstiprināts 2026.gadam (EUR)</t>
  </si>
  <si>
    <t>Viļakas pilsētas pašvaldības dzīvokļu uzturēšana</t>
  </si>
  <si>
    <t>Kultūras un tūrisma pārvaldes pasākumi</t>
  </si>
  <si>
    <t>Balvu sporta skola pilsētas stadions</t>
  </si>
  <si>
    <t>Daudzfunkcionālais pakalpojumu centrs Balvos</t>
  </si>
  <si>
    <t>Daudzfunkcionālais pakalpojumu centrs Viļakā</t>
  </si>
  <si>
    <t>Kultūras un tūrisma pārvalde</t>
  </si>
  <si>
    <t>Mērķdotācija pašvaldību izglītības iestādēm latgaliešu rakstu valodas apguvei</t>
  </si>
  <si>
    <t>Projekts "Digitālā darba ar jaunatni sistēmas attīstība pašvaldībās"</t>
  </si>
  <si>
    <t>Daudzfunkcionālais pakalpojumi centrs</t>
  </si>
  <si>
    <t>Uzņēmēju balle</t>
  </si>
  <si>
    <t>Uzņēmejdarbības atbalsts</t>
  </si>
  <si>
    <t>“Balvu valsts ģimnāzijas mākslīgā seguma futbola stadiona seguma nomaiņa”</t>
  </si>
  <si>
    <t>Skujetnieku FVP</t>
  </si>
  <si>
    <t>Balvu pilsētas pašvaldības dzīvokļu uzturēšana</t>
  </si>
  <si>
    <t>Bērzpils pagasta pašvaldības dzīvokļu uzturēšana</t>
  </si>
  <si>
    <t>Briežuciema pagasta pašvaldības dzīvokļu uzturēšana</t>
  </si>
  <si>
    <t>Kubulu pagasta pašvaldības dzīvokļu uzturēšana</t>
  </si>
  <si>
    <t>Krišjāņu pagasta pašvaldības dzīvokļu uzturēšana</t>
  </si>
  <si>
    <t>Lazdulejas pagasta pašvaldības dzīvokļu uzturēšana</t>
  </si>
  <si>
    <t>Tilžas pagasta pašvaldības dzīvokļu uzturēšana</t>
  </si>
  <si>
    <t>Vīksnas pagasta pašvaldības dzīvokļu uzturēšana</t>
  </si>
  <si>
    <t>Baltinavas pagasta pašvaldības dzīvokļu uzturēšana</t>
  </si>
  <si>
    <t>Rugāju pagasta pašvaldības dzīvokļu uzturēšana</t>
  </si>
  <si>
    <t>Lazdukalna pagasta pašvaldības dzīvokļu uzturēšana</t>
  </si>
  <si>
    <t>Vecumu pagasta pašvaldības dzīvokļu uzturēšana</t>
  </si>
  <si>
    <t>Žīguru pagasta pašvaldības dzīvokļu uzturēšana</t>
  </si>
  <si>
    <t>Šķilbēnu pagasta pašvaldības dzīvokļu uzturēšana</t>
  </si>
  <si>
    <t>Medņevas pagasta pašvaldības dzīvokļu uzturēšana</t>
  </si>
  <si>
    <t>Kupravas pagasta pašvaldības dzīvokļu uzturēšana</t>
  </si>
  <si>
    <t>Apstiprināts 2026. gadam (EUR)</t>
  </si>
  <si>
    <t>Profesionālā un mūsdienīgā sociālā darba attīstība</t>
  </si>
  <si>
    <t>Bezemisiju  transportlīdzekļa iegāde Balvu novadā</t>
  </si>
  <si>
    <t>Infrastruktūra uzņēmējdarbības atbalstam Balvos</t>
  </si>
  <si>
    <t xml:space="preserve"> Infrastruktūra uzņēmējdarbības atbalstam Balvos</t>
  </si>
  <si>
    <t>Tehniskā aprīkojuma iegāde virszemes ūdeņu kvalitātes uzlabošanai</t>
  </si>
  <si>
    <t>Pašvaldības nozīmes koplietošanas
meliorācijas sistēmas novadgrāvju 
atjaunošana Lazdukalna pagasta, 
Slavītos. Nr.24-07-C0LA043P-000006</t>
  </si>
  <si>
    <t>Pašvaldības nozīmes koplietošanas
meliorācijas sistēmas novadgrāvju 
atjaunošana Lazdukalna pagasta, 
Benislavā. Nr.24-07-C0LA043P-000007</t>
  </si>
  <si>
    <t>Pašvaldības nozīmes koplietošanas
meliorācijas sistēmas novadgrāvju 
atjaunošana Lazdukalna pagasta, 
Papurnē. Nr.24-07-C0LA043P-000008</t>
  </si>
  <si>
    <t>Pašvaldības nozīmes koplietošanas
meliorācijas sistēmas novadgrāvju 
atjaunošana Rugāju pagasta, 
Kozupē. Nr.24-07-C0LA043P-000009</t>
  </si>
  <si>
    <t>Viļakas ezera pieejamības attīstība</t>
  </si>
  <si>
    <t>Projekts "Viļakas ezera pieejamības attīstība"</t>
  </si>
  <si>
    <t>Ēkas siltumapgādes sistēmas viedā vadība</t>
  </si>
  <si>
    <t>Izglītības iestāžu nodrošinājums pilnveidotā vispārējās izglītības satura kvalitatīvai ieviešanai pamata un vidējās izglītības pakāpē 3. kārta</t>
  </si>
  <si>
    <t>Projekta "Uzņēmējdarbības attīstība Austrumu pierobežā" avansa atmaksa</t>
  </si>
  <si>
    <t>Projekta "Balvu mākslas skolas ēkas energoefektivitātes paaugstināšana" avansa atmaksa</t>
  </si>
  <si>
    <t>Projekta "Siltumnīcefekta gāzu emisiju samazināšana Balvu kultūras un atpūtas centrā" neattiecināmo izmaksu atmaksa</t>
  </si>
  <si>
    <t>Pamatskolas</t>
  </si>
  <si>
    <t>Balvu Valsts ģimnāzijas Nord plus projekta "Together We Thrive"</t>
  </si>
  <si>
    <t>Erasmus + projekts "Respect Connect.Creating Safer and more Inclusive School Environments" Viļakas vidusskola</t>
  </si>
  <si>
    <t>Projekts "Atbalsts priekšlaicīgas mācību pārtraukšanas samazināšanai"</t>
  </si>
  <si>
    <t>Projekts "Pegagodu profesionālā atbalsta sistēmas izveide"</t>
  </si>
  <si>
    <t>Projekts "Skola - kopienā"</t>
  </si>
  <si>
    <t>Projekts "Skola-kopienā"</t>
  </si>
  <si>
    <t>Projekts "STEM un pilsoniskās līdzdalības norises plašākai izglītības pieredzei un karjeras izvēlei"</t>
  </si>
  <si>
    <t>Balvu profesionālās un vispārizglītojošās vidusskolas Erasmus+ projekts "Profesionālā izaugsme, motivācija un inovācijas Eiropas darba tirgū"</t>
  </si>
  <si>
    <t>ERASMUS+ projekts "Tunes of the Nature as a 'Spark' for the Change" Balvu profesionālā un vispārizglītojošā vidusskola</t>
  </si>
  <si>
    <t>Erasmus+ Projekts Nr.2025-1-LV01-KA121-SCH-000308267 Rugāju vidusskola</t>
  </si>
  <si>
    <t>Mērķdotācijas Eiropas Savienības ārējās robežas pašvaldībām</t>
  </si>
  <si>
    <t>Projekts "Pedagodu profesionālā atbalsta sistēmas izveide"</t>
  </si>
  <si>
    <t>Balvu sākumskolas Nord Plus projekts "Back to the Future: Bonding through traditions"</t>
  </si>
  <si>
    <t>Šķilbēnu pagasta ūdensapgāde</t>
  </si>
  <si>
    <t>Tilžas pagasta ūdensapgāde</t>
  </si>
  <si>
    <t>Medņevas pagasta ūdensapgāde</t>
  </si>
  <si>
    <t>Lazdulejas pagasta ūdensapgāde</t>
  </si>
  <si>
    <t>Kupravas pagasta ūdensapgāde</t>
  </si>
  <si>
    <t>Kubulu pagasta ūdensapgāde</t>
  </si>
  <si>
    <t>Briežuciema pagasta ūdensapgāde</t>
  </si>
  <si>
    <t>Bērzpils pagasta ūdensapgāde</t>
  </si>
  <si>
    <t>Bērzkalnes pagasta ūdensapgāde</t>
  </si>
  <si>
    <t>Vectilžas pagasta ūdensapgāde</t>
  </si>
  <si>
    <t>Upītes ciema ūdensapgāde</t>
  </si>
  <si>
    <t>Reliģisko organizāciju atbalsts</t>
  </si>
  <si>
    <t>Valsts nodevas, kuras ieskaita pašvaldības budžetā</t>
  </si>
  <si>
    <t>1. pielikums</t>
  </si>
  <si>
    <t>2026. gada  2. februāra saistošajiem noteikumiem Nr. 2/2026</t>
  </si>
  <si>
    <t>"Par Balvu novada pašvaldības 2026. gada budžetu"</t>
  </si>
  <si>
    <t>Balvu novada pašvaldības pamatbudžets 2026. gadam ( EUR)</t>
  </si>
  <si>
    <r>
      <t xml:space="preserve">Balvu novada domes priekšsēdētājs </t>
    </r>
    <r>
      <rPr>
        <i/>
        <sz val="12"/>
        <color theme="1"/>
        <rFont val="Times New Roman"/>
        <family val="1"/>
        <charset val="186"/>
      </rPr>
      <t>J. Trupovnieks</t>
    </r>
  </si>
  <si>
    <t>2. pielikums</t>
  </si>
  <si>
    <t>2026. gada 2. februāra saistošajiem noteikumiem Nr. 2/2026</t>
  </si>
  <si>
    <t xml:space="preserve">                    Balvu novada pašvaldības pamatbudžeta ieņēmumi 2026. gadam ( EUR)</t>
  </si>
  <si>
    <r>
      <t xml:space="preserve">Balvu novada domes priekšsēdētājs </t>
    </r>
    <r>
      <rPr>
        <i/>
        <sz val="14"/>
        <rFont val="Times New Roman"/>
        <family val="1"/>
        <charset val="186"/>
      </rPr>
      <t>J. Trupovnieks</t>
    </r>
  </si>
  <si>
    <t>Pārējie 2.3.0.0.0. grupā neklasificētie budžeta iestāžu ieņēmumi par budžeta iestāžu sniegtajiem maksas pakalpojumiem un citi pašu ieņēmumi</t>
  </si>
  <si>
    <t>Labklājības ministrijas finansējums sociālajiem pakalpojumiem – atbalsts bārēņiem un bērniem ar invaliditāti</t>
  </si>
  <si>
    <t>Rekavas komunālā saimniecība – apkure</t>
  </si>
  <si>
    <t>Tilžas komunālā saimniecība – apkure</t>
  </si>
  <si>
    <t>Rekavas komunālā saimniecība – notekūdeņu apsaimniekošana</t>
  </si>
  <si>
    <t>Tilžas komunālā saimniecība – notekūdeņu apsaimniekošana</t>
  </si>
  <si>
    <t>Upītes komunālā saimniecība – notekūdeņu apsaimniekošana</t>
  </si>
  <si>
    <t>Izglītības  pārvalde – vasaras nometnes</t>
  </si>
  <si>
    <t>Vecumu komunālā saimniecība – apkure</t>
  </si>
  <si>
    <t>Kupravas pagasta komunālā saimniecība – apkure</t>
  </si>
  <si>
    <t>Krišjāņu pagasta komunālā saimniecība – apkure</t>
  </si>
  <si>
    <t>Viļakas pilsētas komunālā saimniecība – apkure</t>
  </si>
  <si>
    <t>Žīguru pagasta komunālā saimniecība – apkure</t>
  </si>
  <si>
    <t>Baltinavas pagasta komunālā saimniecība – notekūdeņu apsaimniekošana</t>
  </si>
  <si>
    <t>Labklājības ministrija – izdevumu kompensācija par no vardarbības cietušu pieaugušu personu rehabilitāciju dzīvesvietā</t>
  </si>
  <si>
    <t>Valsts dotācija 1.–4. klašu brīvpusdienu daļējai apmaksai</t>
  </si>
  <si>
    <t>Mērķdotācijas pašvaldības izglītības iestāžu piecgadīgo un sešgadīgo bērnu apmācības pedagogu darba samaksai un valsts soc. apdroš. obligātajām iemaksām</t>
  </si>
  <si>
    <t xml:space="preserve">Projekts "Remigrācijas atbalsta pasākums – uzņēmējdarbības atbalsts" </t>
  </si>
  <si>
    <t>Nekustamā īpašuma naodoklis par mājokļiem – iepriekšējo gadu parādi</t>
  </si>
  <si>
    <t>Nekustamā īpašuma nodoklis par ēkām – iepriekšējo gadu parādi</t>
  </si>
  <si>
    <t>Nekustamā īpašuma nodoklis par zemi – iepriekšējo gadu parādi</t>
  </si>
  <si>
    <t>3. pielikums</t>
  </si>
  <si>
    <t>Balvu novada pašvaldības pamatbudžeta izdevumi 2026. gadam (EUR)</t>
  </si>
  <si>
    <t xml:space="preserve">"Remigrācijas atbalsta pasākums – uzņēmējdarbības atbalsts" </t>
  </si>
  <si>
    <t>Projekts "Valsts reģionālā autoceļa P35 Gulbene–Balvi–Viļaka–Krievijas robeža (Vientuļi) posma 17,470–32,397 km pārbūve – gājēju/velosipēdistu celiņa apgaismojuma ierīkošana, soliņu un viedo atkritumu urnu uzstādīšana"</t>
  </si>
  <si>
    <t>Baltinavas komunālā saimniecība – notekūdeņu apsaimniekošana</t>
  </si>
  <si>
    <t>Bērzkalnes komunālā saimniecība – notekūdeņu apsaimniekošana</t>
  </si>
  <si>
    <t>Bērzpils komunālā saimniecība –notekūdeņu apsaimniekošana</t>
  </si>
  <si>
    <t>Briežuciema komunālā saimniecība – notekūdeņu apsaimniekošana</t>
  </si>
  <si>
    <t>Krišjāņu komunālā saimniecība –notekūdeņu apsaimniekošana</t>
  </si>
  <si>
    <t>Kupravas komunālā saimniecība –notekūdeņu apsaimniekošana</t>
  </si>
  <si>
    <t>Lazdukalna komunālā saimniecība – notekūdeņu apsaimniekošana</t>
  </si>
  <si>
    <t>Lazdulejas komunālā saimniecība – notekūdeņu apsaimniekošana</t>
  </si>
  <si>
    <t>Medņevas komunālā saimniecība –notekūdeņu apsaimniekošana</t>
  </si>
  <si>
    <t>Rekavas komunālā saimniecība –notekūdeņu apsaimniekošana</t>
  </si>
  <si>
    <t>Rugāju komunālā saimniecība – notekūdeņu apsaimniekošana</t>
  </si>
  <si>
    <t>Vecumu komunālā saimniecība –notekūdeņu apsaimniekošana</t>
  </si>
  <si>
    <t>Viļakas pilsētas komunālā saimniecība – atkritumu apsaimniekošana</t>
  </si>
  <si>
    <t>Rekavas pagasta komunālā saimniecība – apkure</t>
  </si>
  <si>
    <t>Tilžas pagasta komunālā saimniecība – apkure</t>
  </si>
  <si>
    <t>Vecumu pagasta komunālā saimniecība – apkure</t>
  </si>
  <si>
    <t>Kubulu komunālā saimniecība – notekūdeņu apsaimniekošana</t>
  </si>
  <si>
    <t>Viļakas pilsētas komunālā saimniecība – notekūdenu apsaimniekošana</t>
  </si>
  <si>
    <t>Vīksnas komunālā saimniecība – notekūdenu apsaimniekošana</t>
  </si>
  <si>
    <t>Žīguru komunālā saimniecība – notekūdeņu apsaimniekošana</t>
  </si>
  <si>
    <t>LL-00303 projekts "Robotikas un dronu konstruēšanas un pilotēšanas kompetenču kā sociālās iekļaušanas metodes
attīstība Latgales, Visaginas un Ignalinas pārrobežu reģionos"</t>
  </si>
  <si>
    <r>
      <t xml:space="preserve">Balvu novada domes priekšsēdētājs </t>
    </r>
    <r>
      <rPr>
        <i/>
        <sz val="11"/>
        <color theme="1"/>
        <rFont val="Calibri"/>
        <family val="2"/>
        <charset val="186"/>
        <scheme val="minor"/>
      </rPr>
      <t>J. Trupovnieks</t>
    </r>
  </si>
  <si>
    <r>
      <t xml:space="preserve">Balvu novada domes priekšsēdētājs </t>
    </r>
    <r>
      <rPr>
        <i/>
        <sz val="11"/>
        <rFont val="Times New Roman"/>
        <family val="1"/>
        <charset val="186"/>
      </rPr>
      <t>J. Trupovnieks</t>
    </r>
  </si>
  <si>
    <t>4. pielikums</t>
  </si>
  <si>
    <t>2026. gada 2. februāra  saistošajiem noteikumiem Nr. 2/2026</t>
  </si>
  <si>
    <t xml:space="preserve">                                                                                                                   Balvu novada pašvaldības pamatbudžeta izdevumi 2026. gadam (EUR)</t>
  </si>
  <si>
    <t xml:space="preserve"> Rekavas pagasta komunālā saimniecība – apkure</t>
  </si>
  <si>
    <t>Nemateriālās kultūras mantojuma centrs "Upīte" – tautas nams</t>
  </si>
  <si>
    <t>Nemateriālās kultūras mantojuma centrs "Upīte" – bibliotēka</t>
  </si>
  <si>
    <t>Nemateriālās kultūras mantojuma centrs "Upīte" – muzejs</t>
  </si>
  <si>
    <t>Bērzpils komunālā saimniecība – notekūdeņu apsaimniekošana</t>
  </si>
  <si>
    <t>Krišjāņu komunālā saimniecība – notekūdeņu apsaimniekošana</t>
  </si>
  <si>
    <t>Kupravas komunālā saimniecība – notekūdeņu apsaimniekošana</t>
  </si>
  <si>
    <t>Medņevas komunālā saimniecība – notekūdeņu apsaimniekošana</t>
  </si>
  <si>
    <t>Vecumu komunālā saimniecība – notekūdeņu apsaimniekošana</t>
  </si>
  <si>
    <t>Vīksnas komunālā saimniecība – notekūdeņu apsaimniekošana</t>
  </si>
  <si>
    <t>LL-00303 "Robotikas un dronu konstruēšanas un pilotēšanas kompetenču kā sociālās iekļaušanas metodes
attīstība Latgales, Visaginas un Ignalinas pārrobežu reģionos"</t>
  </si>
  <si>
    <t>"Balvu valsts ģimnāzijas mākslīgā seguma futbola stadiona seguma nomaiņa"</t>
  </si>
  <si>
    <t>Projekts "Skola–kopienā"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</si>
</sst>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3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color rgb="FFFF0000"/>
      <name val="Times New Roman"/>
      <family val="1"/>
      <charset val="186"/>
    </font>
    <font>
      <sz val="12"/>
      <color rgb="FFFF0000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2"/>
      <name val="Times New Roman"/>
      <family val="1"/>
      <charset val="186"/>
    </font>
    <font>
      <sz val="12"/>
      <color theme="1"/>
      <name val="Calibri"/>
      <family val="2"/>
      <charset val="186"/>
      <scheme val="minor"/>
    </font>
    <font>
      <b/>
      <sz val="12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b/>
      <u/>
      <sz val="12"/>
      <color indexed="8"/>
      <name val="Times New Roman"/>
      <family val="1"/>
      <charset val="186"/>
    </font>
    <font>
      <b/>
      <sz val="12"/>
      <color rgb="FF7030A0"/>
      <name val="Times New Roman"/>
      <family val="1"/>
      <charset val="186"/>
    </font>
    <font>
      <b/>
      <sz val="12"/>
      <color indexed="10"/>
      <name val="Times New Roman"/>
      <family val="1"/>
      <charset val="186"/>
    </font>
    <font>
      <b/>
      <sz val="11"/>
      <name val="Calibri"/>
      <family val="2"/>
      <charset val="186"/>
      <scheme val="minor"/>
    </font>
    <font>
      <i/>
      <sz val="12"/>
      <name val="Times New Roman"/>
      <family val="1"/>
      <charset val="186"/>
    </font>
    <font>
      <sz val="1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name val="Calibri"/>
      <family val="2"/>
      <charset val="186"/>
      <scheme val="minor"/>
    </font>
    <font>
      <b/>
      <sz val="16"/>
      <name val="Times New Roman"/>
      <family val="1"/>
      <charset val="186"/>
    </font>
    <font>
      <sz val="14"/>
      <name val="Times New Roman"/>
      <family val="1"/>
      <charset val="186"/>
    </font>
    <font>
      <b/>
      <sz val="11"/>
      <color theme="1"/>
      <name val="Calibri"/>
      <family val="2"/>
      <charset val="186"/>
      <scheme val="minor"/>
    </font>
    <font>
      <sz val="12"/>
      <color rgb="FF00B0F0"/>
      <name val="Times New Roman"/>
      <family val="1"/>
      <charset val="186"/>
    </font>
    <font>
      <b/>
      <i/>
      <sz val="12"/>
      <name val="Times New Roman"/>
      <family val="1"/>
      <charset val="186"/>
    </font>
    <font>
      <b/>
      <sz val="14"/>
      <color indexed="8"/>
      <name val="Times New Roman"/>
      <family val="1"/>
      <charset val="186"/>
    </font>
    <font>
      <b/>
      <sz val="14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  <font>
      <i/>
      <sz val="14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i/>
      <sz val="1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43" fontId="28" fillId="0" borderId="0" applyFont="0" applyFill="0" applyBorder="0" applyAlignment="0" applyProtection="0"/>
  </cellStyleXfs>
  <cellXfs count="211">
    <xf numFmtId="0" fontId="0" fillId="0" borderId="0" xfId="0"/>
    <xf numFmtId="0" fontId="7" fillId="2" borderId="0" xfId="0" applyFont="1" applyFill="1" applyAlignment="1">
      <alignment horizontal="center"/>
    </xf>
    <xf numFmtId="0" fontId="10" fillId="2" borderId="1" xfId="0" applyFont="1" applyFill="1" applyBorder="1" applyAlignment="1">
      <alignment horizontal="center" wrapText="1"/>
    </xf>
    <xf numFmtId="0" fontId="7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0" xfId="0" applyFont="1" applyAlignment="1">
      <alignment horizontal="right"/>
    </xf>
    <xf numFmtId="0" fontId="1" fillId="0" borderId="0" xfId="0" applyFont="1"/>
    <xf numFmtId="0" fontId="9" fillId="0" borderId="0" xfId="0" applyFont="1"/>
    <xf numFmtId="0" fontId="12" fillId="0" borderId="0" xfId="0" applyFont="1"/>
    <xf numFmtId="0" fontId="12" fillId="2" borderId="0" xfId="0" applyFont="1" applyFill="1"/>
    <xf numFmtId="0" fontId="11" fillId="0" borderId="1" xfId="0" applyFont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 applyProtection="1">
      <alignment horizontal="center" wrapText="1"/>
      <protection locked="0"/>
    </xf>
    <xf numFmtId="0" fontId="11" fillId="0" borderId="1" xfId="0" applyFont="1" applyBorder="1" applyAlignment="1" applyProtection="1">
      <alignment horizontal="left" wrapText="1"/>
      <protection locked="0"/>
    </xf>
    <xf numFmtId="3" fontId="11" fillId="2" borderId="1" xfId="0" applyNumberFormat="1" applyFont="1" applyFill="1" applyBorder="1" applyAlignment="1" applyProtection="1">
      <alignment horizontal="center" wrapText="1"/>
      <protection locked="0"/>
    </xf>
    <xf numFmtId="0" fontId="11" fillId="0" borderId="0" xfId="0" applyFont="1" applyAlignment="1">
      <alignment horizontal="center" vertical="center"/>
    </xf>
    <xf numFmtId="0" fontId="12" fillId="0" borderId="1" xfId="0" applyFont="1" applyBorder="1" applyAlignment="1" applyProtection="1">
      <alignment horizontal="left" wrapText="1"/>
      <protection locked="0"/>
    </xf>
    <xf numFmtId="0" fontId="12" fillId="0" borderId="1" xfId="0" applyFont="1" applyBorder="1" applyAlignment="1" applyProtection="1">
      <alignment horizontal="center" wrapText="1"/>
      <protection locked="0"/>
    </xf>
    <xf numFmtId="3" fontId="12" fillId="2" borderId="1" xfId="0" applyNumberFormat="1" applyFont="1" applyFill="1" applyBorder="1" applyAlignment="1" applyProtection="1">
      <alignment horizontal="center" wrapText="1"/>
      <protection locked="0"/>
    </xf>
    <xf numFmtId="0" fontId="11" fillId="0" borderId="1" xfId="0" applyFont="1" applyBorder="1" applyAlignment="1">
      <alignment horizontal="left" wrapText="1"/>
    </xf>
    <xf numFmtId="3" fontId="11" fillId="2" borderId="1" xfId="0" applyNumberFormat="1" applyFont="1" applyFill="1" applyBorder="1" applyAlignment="1">
      <alignment horizontal="center" wrapText="1"/>
    </xf>
    <xf numFmtId="0" fontId="12" fillId="0" borderId="1" xfId="0" applyFont="1" applyBorder="1" applyAlignment="1">
      <alignment horizontal="left" wrapText="1"/>
    </xf>
    <xf numFmtId="0" fontId="12" fillId="0" borderId="1" xfId="0" applyFont="1" applyBorder="1" applyAlignment="1">
      <alignment horizontal="center" wrapText="1"/>
    </xf>
    <xf numFmtId="3" fontId="12" fillId="2" borderId="1" xfId="0" applyNumberFormat="1" applyFont="1" applyFill="1" applyBorder="1" applyAlignment="1">
      <alignment horizontal="center" wrapText="1"/>
    </xf>
    <xf numFmtId="49" fontId="12" fillId="0" borderId="2" xfId="0" applyNumberFormat="1" applyFont="1" applyBorder="1" applyAlignment="1">
      <alignment horizontal="left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3" fontId="11" fillId="2" borderId="1" xfId="0" applyNumberFormat="1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12" fillId="0" borderId="1" xfId="0" applyFont="1" applyBorder="1"/>
    <xf numFmtId="3" fontId="12" fillId="2" borderId="1" xfId="0" applyNumberFormat="1" applyFont="1" applyFill="1" applyBorder="1" applyAlignment="1">
      <alignment horizontal="center"/>
    </xf>
    <xf numFmtId="0" fontId="14" fillId="0" borderId="0" xfId="0" applyFont="1"/>
    <xf numFmtId="0" fontId="15" fillId="0" borderId="0" xfId="0" applyFont="1"/>
    <xf numFmtId="0" fontId="3" fillId="0" borderId="0" xfId="0" applyFont="1"/>
    <xf numFmtId="3" fontId="2" fillId="2" borderId="1" xfId="0" applyNumberFormat="1" applyFont="1" applyFill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7" fillId="0" borderId="0" xfId="0" applyFont="1"/>
    <xf numFmtId="0" fontId="1" fillId="0" borderId="1" xfId="0" applyFont="1" applyBorder="1" applyAlignment="1">
      <alignment horizontal="center" vertical="top"/>
    </xf>
    <xf numFmtId="0" fontId="0" fillId="0" borderId="1" xfId="0" applyBorder="1"/>
    <xf numFmtId="2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top"/>
    </xf>
    <xf numFmtId="43" fontId="2" fillId="0" borderId="1" xfId="1" applyFont="1" applyFill="1" applyBorder="1" applyAlignment="1">
      <alignment horizontal="center" vertical="top"/>
    </xf>
    <xf numFmtId="0" fontId="18" fillId="0" borderId="0" xfId="0" applyFont="1"/>
    <xf numFmtId="3" fontId="0" fillId="0" borderId="0" xfId="0" applyNumberFormat="1"/>
    <xf numFmtId="0" fontId="8" fillId="0" borderId="0" xfId="0" applyFont="1"/>
    <xf numFmtId="0" fontId="22" fillId="0" borderId="0" xfId="0" applyFont="1"/>
    <xf numFmtId="1" fontId="7" fillId="0" borderId="0" xfId="0" applyNumberFormat="1" applyFont="1"/>
    <xf numFmtId="0" fontId="8" fillId="0" borderId="1" xfId="0" applyFont="1" applyBorder="1" applyAlignment="1">
      <alignment horizontal="center"/>
    </xf>
    <xf numFmtId="0" fontId="23" fillId="0" borderId="0" xfId="0" applyFont="1"/>
    <xf numFmtId="0" fontId="10" fillId="0" borderId="1" xfId="0" applyFont="1" applyBorder="1" applyAlignment="1">
      <alignment horizontal="center" vertical="top"/>
    </xf>
    <xf numFmtId="0" fontId="16" fillId="0" borderId="0" xfId="0" applyFont="1"/>
    <xf numFmtId="0" fontId="19" fillId="0" borderId="0" xfId="0" applyFont="1"/>
    <xf numFmtId="0" fontId="20" fillId="0" borderId="0" xfId="0" applyFont="1"/>
    <xf numFmtId="0" fontId="8" fillId="2" borderId="1" xfId="0" applyFont="1" applyFill="1" applyBorder="1" applyAlignment="1">
      <alignment wrapText="1"/>
    </xf>
    <xf numFmtId="0" fontId="8" fillId="2" borderId="1" xfId="0" applyFont="1" applyFill="1" applyBorder="1"/>
    <xf numFmtId="0" fontId="10" fillId="2" borderId="1" xfId="0" applyFont="1" applyFill="1" applyBorder="1"/>
    <xf numFmtId="0" fontId="10" fillId="2" borderId="1" xfId="0" applyFont="1" applyFill="1" applyBorder="1" applyAlignment="1">
      <alignment wrapText="1"/>
    </xf>
    <xf numFmtId="3" fontId="10" fillId="2" borderId="1" xfId="0" applyNumberFormat="1" applyFont="1" applyFill="1" applyBorder="1"/>
    <xf numFmtId="3" fontId="8" fillId="2" borderId="1" xfId="0" applyNumberFormat="1" applyFont="1" applyFill="1" applyBorder="1"/>
    <xf numFmtId="3" fontId="18" fillId="0" borderId="0" xfId="0" applyNumberFormat="1" applyFont="1"/>
    <xf numFmtId="0" fontId="8" fillId="2" borderId="1" xfId="0" applyFont="1" applyFill="1" applyBorder="1" applyAlignment="1">
      <alignment horizontal="left" wrapText="1"/>
    </xf>
    <xf numFmtId="0" fontId="8" fillId="2" borderId="1" xfId="0" applyFont="1" applyFill="1" applyBorder="1" applyAlignment="1">
      <alignment vertical="center" wrapText="1"/>
    </xf>
    <xf numFmtId="3" fontId="17" fillId="2" borderId="1" xfId="0" applyNumberFormat="1" applyFont="1" applyFill="1" applyBorder="1"/>
    <xf numFmtId="0" fontId="7" fillId="2" borderId="0" xfId="0" applyFont="1" applyFill="1"/>
    <xf numFmtId="0" fontId="22" fillId="2" borderId="0" xfId="0" applyFont="1" applyFill="1"/>
    <xf numFmtId="0" fontId="0" fillId="2" borderId="0" xfId="0" applyFill="1"/>
    <xf numFmtId="0" fontId="1" fillId="2" borderId="0" xfId="0" applyFont="1" applyFill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/>
    <xf numFmtId="3" fontId="10" fillId="2" borderId="1" xfId="0" applyNumberFormat="1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 wrapText="1"/>
    </xf>
    <xf numFmtId="0" fontId="18" fillId="2" borderId="0" xfId="0" applyFont="1" applyFill="1"/>
    <xf numFmtId="0" fontId="10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right"/>
    </xf>
    <xf numFmtId="0" fontId="10" fillId="2" borderId="1" xfId="0" applyFont="1" applyFill="1" applyBorder="1" applyAlignment="1">
      <alignment horizontal="left"/>
    </xf>
    <xf numFmtId="0" fontId="17" fillId="2" borderId="1" xfId="0" applyFont="1" applyFill="1" applyBorder="1"/>
    <xf numFmtId="49" fontId="10" fillId="2" borderId="1" xfId="0" applyNumberFormat="1" applyFont="1" applyFill="1" applyBorder="1"/>
    <xf numFmtId="3" fontId="8" fillId="2" borderId="1" xfId="0" applyNumberFormat="1" applyFont="1" applyFill="1" applyBorder="1" applyAlignment="1">
      <alignment horizontal="right"/>
    </xf>
    <xf numFmtId="3" fontId="12" fillId="0" borderId="0" xfId="0" applyNumberFormat="1" applyFont="1"/>
    <xf numFmtId="0" fontId="10" fillId="2" borderId="1" xfId="0" applyFont="1" applyFill="1" applyBorder="1" applyAlignment="1">
      <alignment horizontal="center" vertical="top"/>
    </xf>
    <xf numFmtId="0" fontId="8" fillId="2" borderId="0" xfId="0" applyFont="1" applyFill="1" applyAlignment="1">
      <alignment wrapText="1"/>
    </xf>
    <xf numFmtId="3" fontId="1" fillId="2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vertical="top" wrapText="1"/>
    </xf>
    <xf numFmtId="3" fontId="2" fillId="0" borderId="0" xfId="0" applyNumberFormat="1" applyFont="1" applyAlignment="1">
      <alignment horizontal="right" wrapText="1"/>
    </xf>
    <xf numFmtId="0" fontId="1" fillId="2" borderId="0" xfId="0" applyFont="1" applyFill="1" applyAlignment="1">
      <alignment horizontal="center"/>
    </xf>
    <xf numFmtId="3" fontId="10" fillId="2" borderId="3" xfId="0" applyNumberFormat="1" applyFont="1" applyFill="1" applyBorder="1"/>
    <xf numFmtId="3" fontId="8" fillId="2" borderId="3" xfId="0" applyNumberFormat="1" applyFont="1" applyFill="1" applyBorder="1"/>
    <xf numFmtId="3" fontId="17" fillId="2" borderId="3" xfId="0" applyNumberFormat="1" applyFont="1" applyFill="1" applyBorder="1"/>
    <xf numFmtId="0" fontId="5" fillId="0" borderId="0" xfId="0" applyFont="1"/>
    <xf numFmtId="0" fontId="5" fillId="0" borderId="4" xfId="0" applyFont="1" applyBorder="1"/>
    <xf numFmtId="3" fontId="8" fillId="2" borderId="1" xfId="0" applyNumberFormat="1" applyFont="1" applyFill="1" applyBorder="1" applyAlignment="1">
      <alignment horizontal="right" wrapText="1"/>
    </xf>
    <xf numFmtId="3" fontId="2" fillId="0" borderId="0" xfId="0" applyNumberFormat="1" applyFont="1" applyAlignment="1">
      <alignment horizontal="center"/>
    </xf>
    <xf numFmtId="0" fontId="8" fillId="2" borderId="0" xfId="0" applyFont="1" applyFill="1" applyAlignment="1">
      <alignment horizontal="right"/>
    </xf>
    <xf numFmtId="0" fontId="7" fillId="2" borderId="0" xfId="0" applyFont="1" applyFill="1" applyAlignment="1">
      <alignment horizontal="right"/>
    </xf>
    <xf numFmtId="0" fontId="21" fillId="2" borderId="0" xfId="0" applyFont="1" applyFill="1"/>
    <xf numFmtId="0" fontId="8" fillId="2" borderId="1" xfId="0" applyFont="1" applyFill="1" applyBorder="1" applyAlignment="1">
      <alignment horizontal="center"/>
    </xf>
    <xf numFmtId="1" fontId="8" fillId="2" borderId="1" xfId="0" applyNumberFormat="1" applyFont="1" applyFill="1" applyBorder="1" applyAlignment="1">
      <alignment horizontal="center" vertical="center" wrapText="1"/>
    </xf>
    <xf numFmtId="3" fontId="8" fillId="2" borderId="1" xfId="0" applyNumberFormat="1" applyFont="1" applyFill="1" applyBorder="1" applyAlignment="1">
      <alignment horizontal="center"/>
    </xf>
    <xf numFmtId="3" fontId="8" fillId="2" borderId="1" xfId="0" applyNumberFormat="1" applyFont="1" applyFill="1" applyBorder="1" applyAlignment="1">
      <alignment horizontal="center" wrapText="1"/>
    </xf>
    <xf numFmtId="3" fontId="8" fillId="2" borderId="5" xfId="0" applyNumberFormat="1" applyFont="1" applyFill="1" applyBorder="1" applyAlignment="1">
      <alignment horizontal="center" wrapText="1"/>
    </xf>
    <xf numFmtId="3" fontId="8" fillId="2" borderId="6" xfId="0" applyNumberFormat="1" applyFont="1" applyFill="1" applyBorder="1" applyAlignment="1">
      <alignment horizontal="center" wrapText="1"/>
    </xf>
    <xf numFmtId="3" fontId="8" fillId="2" borderId="7" xfId="0" applyNumberFormat="1" applyFont="1" applyFill="1" applyBorder="1" applyAlignment="1">
      <alignment horizontal="center"/>
    </xf>
    <xf numFmtId="3" fontId="8" fillId="2" borderId="8" xfId="0" applyNumberFormat="1" applyFont="1" applyFill="1" applyBorder="1" applyAlignment="1">
      <alignment horizontal="center"/>
    </xf>
    <xf numFmtId="3" fontId="8" fillId="2" borderId="9" xfId="0" applyNumberFormat="1" applyFont="1" applyFill="1" applyBorder="1" applyAlignment="1">
      <alignment horizontal="center" wrapText="1"/>
    </xf>
    <xf numFmtId="1" fontId="6" fillId="2" borderId="0" xfId="0" applyNumberFormat="1" applyFont="1" applyFill="1" applyAlignment="1">
      <alignment vertical="top"/>
    </xf>
    <xf numFmtId="1" fontId="6" fillId="2" borderId="0" xfId="0" applyNumberFormat="1" applyFont="1" applyFill="1" applyAlignment="1">
      <alignment vertical="top" wrapText="1"/>
    </xf>
    <xf numFmtId="1" fontId="7" fillId="2" borderId="0" xfId="0" applyNumberFormat="1" applyFont="1" applyFill="1"/>
    <xf numFmtId="0" fontId="6" fillId="2" borderId="0" xfId="0" applyFont="1" applyFill="1" applyAlignment="1">
      <alignment vertical="top"/>
    </xf>
    <xf numFmtId="0" fontId="0" fillId="2" borderId="0" xfId="0" applyFill="1" applyAlignment="1">
      <alignment horizontal="center"/>
    </xf>
    <xf numFmtId="0" fontId="5" fillId="2" borderId="0" xfId="0" applyFont="1" applyFill="1"/>
    <xf numFmtId="0" fontId="5" fillId="2" borderId="4" xfId="0" applyFont="1" applyFill="1" applyBorder="1"/>
    <xf numFmtId="0" fontId="5" fillId="2" borderId="0" xfId="0" applyFont="1" applyFill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8" fillId="2" borderId="0" xfId="0" applyFont="1" applyFill="1"/>
    <xf numFmtId="0" fontId="10" fillId="2" borderId="0" xfId="0" applyFont="1" applyFill="1" applyAlignment="1">
      <alignment horizontal="center"/>
    </xf>
    <xf numFmtId="0" fontId="7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vertical="top" wrapText="1"/>
    </xf>
    <xf numFmtId="3" fontId="22" fillId="2" borderId="0" xfId="0" applyNumberFormat="1" applyFont="1" applyFill="1"/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left" wrapText="1"/>
    </xf>
    <xf numFmtId="0" fontId="7" fillId="2" borderId="5" xfId="0" applyFont="1" applyFill="1" applyBorder="1" applyAlignment="1">
      <alignment vertical="center" wrapText="1"/>
    </xf>
    <xf numFmtId="0" fontId="9" fillId="2" borderId="0" xfId="0" applyFont="1" applyFill="1"/>
    <xf numFmtId="0" fontId="25" fillId="0" borderId="1" xfId="0" applyFont="1" applyBorder="1" applyAlignment="1">
      <alignment horizontal="center" wrapText="1"/>
    </xf>
    <xf numFmtId="0" fontId="25" fillId="0" borderId="1" xfId="0" applyFont="1" applyBorder="1" applyAlignment="1">
      <alignment horizontal="center" vertical="top" wrapText="1"/>
    </xf>
    <xf numFmtId="0" fontId="4" fillId="0" borderId="0" xfId="0" applyFont="1"/>
    <xf numFmtId="3" fontId="1" fillId="0" borderId="1" xfId="0" applyNumberFormat="1" applyFont="1" applyBorder="1" applyAlignment="1">
      <alignment horizontal="center" wrapText="1"/>
    </xf>
    <xf numFmtId="3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2" fillId="2" borderId="1" xfId="0" applyFont="1" applyFill="1" applyBorder="1" applyAlignment="1">
      <alignment horizontal="center"/>
    </xf>
    <xf numFmtId="0" fontId="21" fillId="0" borderId="0" xfId="0" applyFont="1"/>
    <xf numFmtId="1" fontId="1" fillId="0" borderId="1" xfId="0" applyNumberFormat="1" applyFont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center" wrapText="1"/>
    </xf>
    <xf numFmtId="3" fontId="8" fillId="0" borderId="7" xfId="0" applyNumberFormat="1" applyFont="1" applyBorder="1" applyAlignment="1">
      <alignment horizontal="center" wrapText="1"/>
    </xf>
    <xf numFmtId="3" fontId="1" fillId="0" borderId="1" xfId="0" applyNumberFormat="1" applyFont="1" applyBorder="1" applyAlignment="1">
      <alignment horizontal="center"/>
    </xf>
    <xf numFmtId="3" fontId="8" fillId="0" borderId="8" xfId="0" applyNumberFormat="1" applyFont="1" applyBorder="1" applyAlignment="1">
      <alignment horizontal="center"/>
    </xf>
    <xf numFmtId="3" fontId="8" fillId="0" borderId="7" xfId="0" applyNumberFormat="1" applyFont="1" applyBorder="1" applyAlignment="1">
      <alignment horizontal="center"/>
    </xf>
    <xf numFmtId="3" fontId="24" fillId="0" borderId="1" xfId="0" applyNumberFormat="1" applyFont="1" applyBorder="1" applyAlignment="1">
      <alignment horizontal="center"/>
    </xf>
    <xf numFmtId="3" fontId="10" fillId="0" borderId="1" xfId="0" applyNumberFormat="1" applyFont="1" applyBorder="1" applyAlignment="1">
      <alignment horizontal="center"/>
    </xf>
    <xf numFmtId="1" fontId="6" fillId="0" borderId="0" xfId="0" applyNumberFormat="1" applyFont="1" applyAlignment="1">
      <alignment vertical="top"/>
    </xf>
    <xf numFmtId="1" fontId="6" fillId="0" borderId="0" xfId="0" applyNumberFormat="1" applyFont="1" applyAlignment="1">
      <alignment vertical="top" wrapText="1"/>
    </xf>
    <xf numFmtId="0" fontId="10" fillId="0" borderId="1" xfId="0" applyFont="1" applyBorder="1"/>
    <xf numFmtId="0" fontId="2" fillId="0" borderId="0" xfId="0" applyFont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left" vertical="center" wrapText="1"/>
    </xf>
    <xf numFmtId="3" fontId="8" fillId="0" borderId="1" xfId="0" applyNumberFormat="1" applyFont="1" applyBorder="1" applyAlignment="1">
      <alignment horizontal="right" wrapText="1"/>
    </xf>
    <xf numFmtId="0" fontId="6" fillId="2" borderId="1" xfId="0" applyFont="1" applyFill="1" applyBorder="1" applyAlignment="1">
      <alignment horizontal="center" vertical="top" wrapText="1"/>
    </xf>
    <xf numFmtId="3" fontId="8" fillId="2" borderId="0" xfId="0" applyNumberFormat="1" applyFont="1" applyFill="1" applyAlignment="1">
      <alignment horizontal="center"/>
    </xf>
    <xf numFmtId="3" fontId="8" fillId="2" borderId="0" xfId="0" applyNumberFormat="1" applyFont="1" applyFill="1" applyAlignment="1">
      <alignment horizontal="center" wrapText="1"/>
    </xf>
    <xf numFmtId="1" fontId="8" fillId="2" borderId="3" xfId="0" applyNumberFormat="1" applyFont="1" applyFill="1" applyBorder="1" applyAlignment="1">
      <alignment horizontal="center" vertical="center" wrapText="1"/>
    </xf>
    <xf numFmtId="3" fontId="8" fillId="2" borderId="3" xfId="0" applyNumberFormat="1" applyFont="1" applyFill="1" applyBorder="1" applyAlignment="1">
      <alignment horizontal="center"/>
    </xf>
    <xf numFmtId="3" fontId="8" fillId="2" borderId="12" xfId="0" applyNumberFormat="1" applyFont="1" applyFill="1" applyBorder="1" applyAlignment="1">
      <alignment horizontal="center" wrapText="1"/>
    </xf>
    <xf numFmtId="3" fontId="8" fillId="2" borderId="13" xfId="0" applyNumberFormat="1" applyFont="1" applyFill="1" applyBorder="1" applyAlignment="1">
      <alignment horizontal="center"/>
    </xf>
    <xf numFmtId="3" fontId="8" fillId="2" borderId="14" xfId="0" applyNumberFormat="1" applyFont="1" applyFill="1" applyBorder="1" applyAlignment="1">
      <alignment horizontal="center"/>
    </xf>
    <xf numFmtId="3" fontId="8" fillId="2" borderId="3" xfId="0" applyNumberFormat="1" applyFont="1" applyFill="1" applyBorder="1" applyAlignment="1">
      <alignment horizontal="center" wrapText="1"/>
    </xf>
    <xf numFmtId="3" fontId="8" fillId="2" borderId="15" xfId="0" applyNumberFormat="1" applyFont="1" applyFill="1" applyBorder="1" applyAlignment="1">
      <alignment horizontal="center" wrapText="1"/>
    </xf>
    <xf numFmtId="3" fontId="8" fillId="2" borderId="16" xfId="0" applyNumberFormat="1" applyFont="1" applyFill="1" applyBorder="1" applyAlignment="1">
      <alignment horizontal="center" wrapText="1"/>
    </xf>
    <xf numFmtId="0" fontId="7" fillId="0" borderId="1" xfId="0" applyFont="1" applyBorder="1"/>
    <xf numFmtId="0" fontId="7" fillId="2" borderId="1" xfId="0" applyFont="1" applyFill="1" applyBorder="1"/>
    <xf numFmtId="3" fontId="7" fillId="0" borderId="1" xfId="0" applyNumberFormat="1" applyFont="1" applyBorder="1"/>
    <xf numFmtId="0" fontId="7" fillId="0" borderId="1" xfId="0" applyFont="1" applyBorder="1" applyAlignment="1">
      <alignment horizontal="center"/>
    </xf>
    <xf numFmtId="3" fontId="8" fillId="2" borderId="11" xfId="0" applyNumberFormat="1" applyFont="1" applyFill="1" applyBorder="1" applyAlignment="1">
      <alignment horizontal="center"/>
    </xf>
    <xf numFmtId="3" fontId="8" fillId="2" borderId="17" xfId="0" applyNumberFormat="1" applyFont="1" applyFill="1" applyBorder="1" applyAlignment="1">
      <alignment horizontal="center" wrapText="1"/>
    </xf>
    <xf numFmtId="0" fontId="8" fillId="2" borderId="0" xfId="0" applyFont="1" applyFill="1" applyAlignment="1">
      <alignment horizontal="center"/>
    </xf>
    <xf numFmtId="0" fontId="27" fillId="2" borderId="0" xfId="0" applyFont="1" applyFill="1" applyAlignment="1">
      <alignment horizontal="center"/>
    </xf>
    <xf numFmtId="0" fontId="8" fillId="2" borderId="1" xfId="0" applyFont="1" applyFill="1" applyBorder="1" applyAlignment="1">
      <alignment horizontal="left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top" wrapText="1"/>
    </xf>
    <xf numFmtId="3" fontId="10" fillId="2" borderId="1" xfId="0" applyNumberFormat="1" applyFont="1" applyFill="1" applyBorder="1" applyAlignment="1">
      <alignment horizontal="right" wrapText="1"/>
    </xf>
    <xf numFmtId="3" fontId="10" fillId="2" borderId="1" xfId="0" applyNumberFormat="1" applyFont="1" applyFill="1" applyBorder="1" applyAlignment="1">
      <alignment horizontal="right"/>
    </xf>
    <xf numFmtId="3" fontId="8" fillId="0" borderId="1" xfId="0" applyNumberFormat="1" applyFont="1" applyBorder="1"/>
    <xf numFmtId="0" fontId="25" fillId="2" borderId="1" xfId="0" applyFont="1" applyFill="1" applyBorder="1" applyAlignment="1">
      <alignment horizontal="center" vertical="top" wrapText="1"/>
    </xf>
    <xf numFmtId="0" fontId="25" fillId="2" borderId="5" xfId="0" applyFont="1" applyFill="1" applyBorder="1" applyAlignment="1">
      <alignment horizontal="center" vertical="center" wrapText="1"/>
    </xf>
    <xf numFmtId="0" fontId="25" fillId="2" borderId="5" xfId="0" applyFont="1" applyFill="1" applyBorder="1" applyAlignment="1">
      <alignment horizontal="center" wrapText="1"/>
    </xf>
    <xf numFmtId="0" fontId="25" fillId="2" borderId="8" xfId="0" applyFont="1" applyFill="1" applyBorder="1" applyAlignment="1">
      <alignment horizontal="center" wrapText="1"/>
    </xf>
    <xf numFmtId="0" fontId="25" fillId="2" borderId="7" xfId="0" applyFont="1" applyFill="1" applyBorder="1" applyAlignment="1">
      <alignment horizontal="center" wrapText="1"/>
    </xf>
    <xf numFmtId="0" fontId="25" fillId="2" borderId="1" xfId="0" applyFont="1" applyFill="1" applyBorder="1" applyAlignment="1">
      <alignment horizontal="center" vertical="center" wrapText="1"/>
    </xf>
    <xf numFmtId="0" fontId="25" fillId="0" borderId="18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3" fontId="8" fillId="2" borderId="19" xfId="0" applyNumberFormat="1" applyFont="1" applyFill="1" applyBorder="1" applyAlignment="1">
      <alignment horizontal="center" wrapText="1"/>
    </xf>
    <xf numFmtId="3" fontId="8" fillId="2" borderId="20" xfId="0" applyNumberFormat="1" applyFont="1" applyFill="1" applyBorder="1" applyAlignment="1">
      <alignment horizontal="center" wrapText="1"/>
    </xf>
    <xf numFmtId="3" fontId="25" fillId="0" borderId="1" xfId="0" applyNumberFormat="1" applyFont="1" applyBorder="1" applyAlignment="1">
      <alignment horizontal="center" wrapText="1"/>
    </xf>
    <xf numFmtId="3" fontId="6" fillId="0" borderId="0" xfId="0" applyNumberFormat="1" applyFont="1" applyAlignment="1">
      <alignment vertical="top"/>
    </xf>
    <xf numFmtId="0" fontId="18" fillId="0" borderId="0" xfId="0" applyFont="1" applyAlignment="1">
      <alignment horizontal="right"/>
    </xf>
    <xf numFmtId="0" fontId="26" fillId="0" borderId="0" xfId="0" applyFont="1" applyAlignment="1">
      <alignment horizontal="center"/>
    </xf>
    <xf numFmtId="0" fontId="1" fillId="0" borderId="0" xfId="0" applyFont="1" applyAlignment="1">
      <alignment horizontal="right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wrapText="1"/>
    </xf>
    <xf numFmtId="0" fontId="22" fillId="2" borderId="0" xfId="0" applyFont="1" applyFill="1" applyAlignment="1">
      <alignment horizontal="right"/>
    </xf>
    <xf numFmtId="0" fontId="2" fillId="2" borderId="1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7" fillId="2" borderId="0" xfId="0" applyFont="1" applyFill="1" applyAlignment="1">
      <alignment horizontal="center"/>
    </xf>
    <xf numFmtId="0" fontId="7" fillId="0" borderId="4" xfId="0" applyFont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1" fontId="7" fillId="0" borderId="0" xfId="0" applyNumberFormat="1" applyFont="1" applyAlignment="1">
      <alignment horizontal="right" vertical="top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2"/>
  <sheetViews>
    <sheetView topLeftCell="A61" workbookViewId="0">
      <selection activeCell="F76" sqref="F76"/>
    </sheetView>
  </sheetViews>
  <sheetFormatPr defaultColWidth="9.109375" defaultRowHeight="15.6" x14ac:dyDescent="0.3"/>
  <cols>
    <col min="1" max="1" width="65.6640625" style="8" customWidth="1"/>
    <col min="2" max="3" width="13.88671875" style="8" customWidth="1"/>
    <col min="4" max="4" width="12.109375" style="8" customWidth="1"/>
    <col min="5" max="16384" width="9.109375" style="8"/>
  </cols>
  <sheetData>
    <row r="1" spans="1:9" x14ac:dyDescent="0.3">
      <c r="A1" s="7"/>
      <c r="C1" s="7"/>
      <c r="D1" s="9"/>
      <c r="E1" s="9"/>
      <c r="F1" s="9"/>
    </row>
    <row r="2" spans="1:9" x14ac:dyDescent="0.3">
      <c r="A2" s="7"/>
      <c r="C2" s="69" t="s">
        <v>702</v>
      </c>
      <c r="D2" s="9"/>
      <c r="E2" s="9"/>
      <c r="F2" s="9"/>
    </row>
    <row r="3" spans="1:9" x14ac:dyDescent="0.3">
      <c r="A3" s="7"/>
      <c r="C3" s="69" t="s">
        <v>523</v>
      </c>
      <c r="D3" s="9"/>
      <c r="E3" s="9"/>
      <c r="F3" s="9"/>
      <c r="G3" s="7"/>
      <c r="H3" s="7"/>
      <c r="I3" s="7"/>
    </row>
    <row r="4" spans="1:9" x14ac:dyDescent="0.3">
      <c r="A4" s="7"/>
      <c r="B4" s="6"/>
      <c r="C4" s="69" t="s">
        <v>703</v>
      </c>
      <c r="D4" s="9"/>
      <c r="E4" s="9"/>
      <c r="F4" s="9"/>
    </row>
    <row r="5" spans="1:9" s="9" customFormat="1" ht="15" customHeight="1" x14ac:dyDescent="0.3">
      <c r="C5" s="69" t="s">
        <v>704</v>
      </c>
    </row>
    <row r="6" spans="1:9" s="9" customFormat="1" ht="15" customHeight="1" x14ac:dyDescent="0.3">
      <c r="C6" s="87"/>
    </row>
    <row r="7" spans="1:9" s="9" customFormat="1" ht="15" customHeight="1" x14ac:dyDescent="0.3">
      <c r="A7" s="195" t="s">
        <v>705</v>
      </c>
      <c r="B7" s="195"/>
      <c r="C7" s="195"/>
    </row>
    <row r="8" spans="1:9" s="9" customFormat="1" ht="15" customHeight="1" x14ac:dyDescent="0.3">
      <c r="C8" s="10"/>
    </row>
    <row r="9" spans="1:9" s="9" customFormat="1" ht="52.5" customHeight="1" x14ac:dyDescent="0.3">
      <c r="A9" s="11" t="s">
        <v>400</v>
      </c>
      <c r="B9" s="11" t="s">
        <v>401</v>
      </c>
      <c r="C9" s="12" t="s">
        <v>658</v>
      </c>
    </row>
    <row r="10" spans="1:9" s="9" customFormat="1" ht="30" customHeight="1" x14ac:dyDescent="0.3">
      <c r="A10" s="13" t="s">
        <v>402</v>
      </c>
      <c r="B10" s="14"/>
      <c r="C10" s="15">
        <f>C11+C13+C15+C19+C22+C24+C26+C29+C31+C33+C35+C17</f>
        <v>40531159</v>
      </c>
    </row>
    <row r="11" spans="1:9" s="16" customFormat="1" ht="15" customHeight="1" x14ac:dyDescent="0.3">
      <c r="A11" s="14" t="s">
        <v>220</v>
      </c>
      <c r="B11" s="14" t="s">
        <v>219</v>
      </c>
      <c r="C11" s="15">
        <f>C12</f>
        <v>12315460</v>
      </c>
    </row>
    <row r="12" spans="1:9" s="9" customFormat="1" ht="15" customHeight="1" x14ac:dyDescent="0.3">
      <c r="A12" s="17" t="s">
        <v>403</v>
      </c>
      <c r="B12" s="18" t="s">
        <v>404</v>
      </c>
      <c r="C12" s="19">
        <f>'2.pielikums'!F15</f>
        <v>12315460</v>
      </c>
    </row>
    <row r="13" spans="1:9" s="9" customFormat="1" ht="15" customHeight="1" x14ac:dyDescent="0.3">
      <c r="A13" s="20" t="s">
        <v>225</v>
      </c>
      <c r="B13" s="20" t="s">
        <v>224</v>
      </c>
      <c r="C13" s="21">
        <f>C14</f>
        <v>1131791</v>
      </c>
    </row>
    <row r="14" spans="1:9" s="9" customFormat="1" ht="15" customHeight="1" x14ac:dyDescent="0.3">
      <c r="A14" s="22" t="s">
        <v>405</v>
      </c>
      <c r="B14" s="23" t="s">
        <v>406</v>
      </c>
      <c r="C14" s="24">
        <f>'2.pielikums'!F18</f>
        <v>1131791</v>
      </c>
    </row>
    <row r="15" spans="1:9" s="9" customFormat="1" ht="15" customHeight="1" x14ac:dyDescent="0.3">
      <c r="A15" s="20" t="s">
        <v>407</v>
      </c>
      <c r="B15" s="20" t="s">
        <v>244</v>
      </c>
      <c r="C15" s="21">
        <f>C16</f>
        <v>58000</v>
      </c>
    </row>
    <row r="16" spans="1:9" s="9" customFormat="1" ht="15" customHeight="1" x14ac:dyDescent="0.3">
      <c r="A16" s="22" t="s">
        <v>408</v>
      </c>
      <c r="B16" s="23" t="s">
        <v>409</v>
      </c>
      <c r="C16" s="24">
        <f>'2.pielikums'!F29</f>
        <v>58000</v>
      </c>
    </row>
    <row r="17" spans="1:3" s="9" customFormat="1" ht="15" customHeight="1" x14ac:dyDescent="0.3">
      <c r="A17" s="20" t="s">
        <v>410</v>
      </c>
      <c r="B17" s="20" t="s">
        <v>255</v>
      </c>
      <c r="C17" s="21">
        <f>C18</f>
        <v>10000</v>
      </c>
    </row>
    <row r="18" spans="1:3" s="9" customFormat="1" ht="30" customHeight="1" x14ac:dyDescent="0.3">
      <c r="A18" s="22" t="s">
        <v>258</v>
      </c>
      <c r="B18" s="23" t="s">
        <v>257</v>
      </c>
      <c r="C18" s="24">
        <f>'2.pielikums'!F36</f>
        <v>10000</v>
      </c>
    </row>
    <row r="19" spans="1:3" s="9" customFormat="1" ht="15" customHeight="1" x14ac:dyDescent="0.3">
      <c r="A19" s="20" t="s">
        <v>260</v>
      </c>
      <c r="B19" s="20" t="s">
        <v>259</v>
      </c>
      <c r="C19" s="21">
        <f>C20+C21</f>
        <v>16585</v>
      </c>
    </row>
    <row r="20" spans="1:3" s="9" customFormat="1" ht="15" customHeight="1" x14ac:dyDescent="0.3">
      <c r="A20" s="22" t="s">
        <v>411</v>
      </c>
      <c r="B20" s="23" t="s">
        <v>412</v>
      </c>
      <c r="C20" s="24">
        <f>'2.pielikums'!F38</f>
        <v>12185</v>
      </c>
    </row>
    <row r="21" spans="1:3" s="9" customFormat="1" ht="15" customHeight="1" x14ac:dyDescent="0.3">
      <c r="A21" s="22" t="s">
        <v>413</v>
      </c>
      <c r="B21" s="23" t="s">
        <v>414</v>
      </c>
      <c r="C21" s="24">
        <f>'2.pielikums'!F45</f>
        <v>4400</v>
      </c>
    </row>
    <row r="22" spans="1:3" s="9" customFormat="1" ht="15" customHeight="1" x14ac:dyDescent="0.3">
      <c r="A22" s="20" t="s">
        <v>283</v>
      </c>
      <c r="B22" s="20" t="s">
        <v>282</v>
      </c>
      <c r="C22" s="21">
        <f>C23</f>
        <v>2500</v>
      </c>
    </row>
    <row r="23" spans="1:3" s="9" customFormat="1" ht="15" customHeight="1" x14ac:dyDescent="0.3">
      <c r="A23" s="22" t="s">
        <v>415</v>
      </c>
      <c r="B23" s="23" t="s">
        <v>416</v>
      </c>
      <c r="C23" s="24">
        <f>'2.pielikums'!F51</f>
        <v>2500</v>
      </c>
    </row>
    <row r="24" spans="1:3" s="9" customFormat="1" ht="15" customHeight="1" x14ac:dyDescent="0.3">
      <c r="A24" s="20" t="s">
        <v>291</v>
      </c>
      <c r="B24" s="20" t="s">
        <v>290</v>
      </c>
      <c r="C24" s="21">
        <f>C25</f>
        <v>36433</v>
      </c>
    </row>
    <row r="25" spans="1:3" s="9" customFormat="1" ht="15" customHeight="1" x14ac:dyDescent="0.3">
      <c r="A25" s="25" t="s">
        <v>417</v>
      </c>
      <c r="B25" s="23" t="s">
        <v>418</v>
      </c>
      <c r="C25" s="24">
        <f>'2.pielikums'!F55</f>
        <v>36433</v>
      </c>
    </row>
    <row r="26" spans="1:3" s="9" customFormat="1" ht="30" customHeight="1" x14ac:dyDescent="0.3">
      <c r="A26" s="20" t="s">
        <v>419</v>
      </c>
      <c r="B26" s="20" t="s">
        <v>297</v>
      </c>
      <c r="C26" s="21">
        <f>C27+C28</f>
        <v>520000</v>
      </c>
    </row>
    <row r="27" spans="1:3" s="9" customFormat="1" ht="15" customHeight="1" x14ac:dyDescent="0.3">
      <c r="A27" s="22" t="s">
        <v>420</v>
      </c>
      <c r="B27" s="26" t="s">
        <v>421</v>
      </c>
      <c r="C27" s="24">
        <f>'2.pielikums'!F64</f>
        <v>100000</v>
      </c>
    </row>
    <row r="28" spans="1:3" s="9" customFormat="1" ht="15" customHeight="1" x14ac:dyDescent="0.3">
      <c r="A28" s="22" t="s">
        <v>422</v>
      </c>
      <c r="B28" s="26" t="s">
        <v>423</v>
      </c>
      <c r="C28" s="24">
        <f>'2.pielikums'!F65</f>
        <v>420000</v>
      </c>
    </row>
    <row r="29" spans="1:3" s="9" customFormat="1" ht="30" customHeight="1" x14ac:dyDescent="0.3">
      <c r="A29" s="20" t="s">
        <v>424</v>
      </c>
      <c r="B29" s="20" t="s">
        <v>305</v>
      </c>
      <c r="C29" s="21">
        <f>C30</f>
        <v>15865</v>
      </c>
    </row>
    <row r="30" spans="1:3" s="9" customFormat="1" ht="15" customHeight="1" x14ac:dyDescent="0.3">
      <c r="A30" s="22" t="s">
        <v>425</v>
      </c>
      <c r="B30" s="23" t="s">
        <v>426</v>
      </c>
      <c r="C30" s="24">
        <f>'2.pielikums'!F67</f>
        <v>15865</v>
      </c>
    </row>
    <row r="31" spans="1:3" s="9" customFormat="1" ht="15" customHeight="1" x14ac:dyDescent="0.3">
      <c r="A31" s="20" t="s">
        <v>427</v>
      </c>
      <c r="B31" s="20" t="s">
        <v>308</v>
      </c>
      <c r="C31" s="21">
        <f>C32</f>
        <v>21897638</v>
      </c>
    </row>
    <row r="32" spans="1:3" s="9" customFormat="1" ht="15" customHeight="1" x14ac:dyDescent="0.3">
      <c r="A32" s="22" t="s">
        <v>428</v>
      </c>
      <c r="B32" s="23" t="s">
        <v>429</v>
      </c>
      <c r="C32" s="24">
        <f>'2.pielikums'!F70</f>
        <v>21897638</v>
      </c>
    </row>
    <row r="33" spans="1:4" s="9" customFormat="1" ht="15" customHeight="1" x14ac:dyDescent="0.3">
      <c r="A33" s="20" t="s">
        <v>479</v>
      </c>
      <c r="B33" s="20" t="s">
        <v>480</v>
      </c>
      <c r="C33" s="21">
        <f>C34</f>
        <v>180000</v>
      </c>
    </row>
    <row r="34" spans="1:4" s="9" customFormat="1" ht="15" customHeight="1" x14ac:dyDescent="0.3">
      <c r="A34" s="22" t="s">
        <v>481</v>
      </c>
      <c r="B34" s="23" t="s">
        <v>482</v>
      </c>
      <c r="C34" s="24">
        <f>'2.pielikums'!F119</f>
        <v>180000</v>
      </c>
    </row>
    <row r="35" spans="1:4" s="9" customFormat="1" ht="15" customHeight="1" x14ac:dyDescent="0.3">
      <c r="A35" s="20" t="s">
        <v>430</v>
      </c>
      <c r="B35" s="20" t="s">
        <v>431</v>
      </c>
      <c r="C35" s="21">
        <f>SUM(C36:C37)</f>
        <v>4346887</v>
      </c>
    </row>
    <row r="36" spans="1:4" s="9" customFormat="1" ht="30" customHeight="1" x14ac:dyDescent="0.3">
      <c r="A36" s="22" t="s">
        <v>432</v>
      </c>
      <c r="B36" s="23" t="s">
        <v>433</v>
      </c>
      <c r="C36" s="24">
        <f>'2.pielikums'!F122</f>
        <v>4341887</v>
      </c>
    </row>
    <row r="37" spans="1:4" s="9" customFormat="1" ht="30" customHeight="1" x14ac:dyDescent="0.3">
      <c r="A37" s="22" t="s">
        <v>434</v>
      </c>
      <c r="B37" s="23" t="s">
        <v>435</v>
      </c>
      <c r="C37" s="24">
        <f>'2.pielikums'!F395</f>
        <v>5000</v>
      </c>
    </row>
    <row r="38" spans="1:4" s="9" customFormat="1" ht="30" customHeight="1" x14ac:dyDescent="0.3">
      <c r="A38" s="27" t="s">
        <v>436</v>
      </c>
      <c r="B38" s="20" t="s">
        <v>437</v>
      </c>
      <c r="C38" s="28">
        <f>C39</f>
        <v>41957831</v>
      </c>
    </row>
    <row r="39" spans="1:4" s="9" customFormat="1" ht="30" customHeight="1" x14ac:dyDescent="0.3">
      <c r="A39" s="29" t="s">
        <v>438</v>
      </c>
      <c r="B39" s="30"/>
      <c r="C39" s="28">
        <f>SUM(C40:C48)</f>
        <v>41957831</v>
      </c>
    </row>
    <row r="40" spans="1:4" s="9" customFormat="1" ht="15" customHeight="1" x14ac:dyDescent="0.3">
      <c r="A40" s="20" t="s">
        <v>158</v>
      </c>
      <c r="B40" s="20" t="s">
        <v>157</v>
      </c>
      <c r="C40" s="28">
        <f>'3.pielikums'!H12</f>
        <v>3284701</v>
      </c>
    </row>
    <row r="41" spans="1:4" s="9" customFormat="1" ht="15" customHeight="1" x14ac:dyDescent="0.3">
      <c r="A41" s="20" t="s">
        <v>160</v>
      </c>
      <c r="B41" s="20" t="s">
        <v>159</v>
      </c>
      <c r="C41" s="28">
        <f>'3.pielikums'!H27</f>
        <v>356204</v>
      </c>
    </row>
    <row r="42" spans="1:4" s="9" customFormat="1" ht="15" customHeight="1" x14ac:dyDescent="0.3">
      <c r="A42" s="20" t="s">
        <v>162</v>
      </c>
      <c r="B42" s="20" t="s">
        <v>161</v>
      </c>
      <c r="C42" s="28">
        <f>'3.pielikums'!H31</f>
        <v>4431449</v>
      </c>
    </row>
    <row r="43" spans="1:4" s="9" customFormat="1" ht="15" customHeight="1" x14ac:dyDescent="0.3">
      <c r="A43" s="20" t="s">
        <v>166</v>
      </c>
      <c r="B43" s="20" t="s">
        <v>165</v>
      </c>
      <c r="C43" s="28">
        <f>'3.pielikums'!H67</f>
        <v>507953</v>
      </c>
    </row>
    <row r="44" spans="1:4" s="9" customFormat="1" ht="15" customHeight="1" x14ac:dyDescent="0.3">
      <c r="A44" s="20" t="s">
        <v>439</v>
      </c>
      <c r="B44" s="20" t="s">
        <v>167</v>
      </c>
      <c r="C44" s="28">
        <f>'3.pielikums'!H92</f>
        <v>4492273</v>
      </c>
    </row>
    <row r="45" spans="1:4" s="9" customFormat="1" ht="15" customHeight="1" x14ac:dyDescent="0.3">
      <c r="A45" s="20" t="s">
        <v>173</v>
      </c>
      <c r="B45" s="20" t="s">
        <v>172</v>
      </c>
      <c r="C45" s="28">
        <f>'3.pielikums'!H172</f>
        <v>279052</v>
      </c>
    </row>
    <row r="46" spans="1:4" s="9" customFormat="1" ht="15" customHeight="1" x14ac:dyDescent="0.3">
      <c r="A46" s="20" t="s">
        <v>440</v>
      </c>
      <c r="B46" s="20" t="s">
        <v>181</v>
      </c>
      <c r="C46" s="28">
        <f>'3.pielikums'!H183</f>
        <v>2590070</v>
      </c>
    </row>
    <row r="47" spans="1:4" s="9" customFormat="1" ht="15" customHeight="1" x14ac:dyDescent="0.3">
      <c r="A47" s="20" t="s">
        <v>195</v>
      </c>
      <c r="B47" s="20" t="s">
        <v>194</v>
      </c>
      <c r="C47" s="28">
        <f>'3.pielikums'!H225</f>
        <v>19082128</v>
      </c>
    </row>
    <row r="48" spans="1:4" s="9" customFormat="1" ht="15" customHeight="1" x14ac:dyDescent="0.3">
      <c r="A48" s="20" t="s">
        <v>207</v>
      </c>
      <c r="B48" s="20" t="s">
        <v>206</v>
      </c>
      <c r="C48" s="28">
        <f>'3.pielikums'!H294</f>
        <v>6934001</v>
      </c>
      <c r="D48" s="81"/>
    </row>
    <row r="49" spans="1:4" s="9" customFormat="1" ht="30" customHeight="1" x14ac:dyDescent="0.3">
      <c r="A49" s="29" t="s">
        <v>441</v>
      </c>
      <c r="B49" s="30"/>
      <c r="C49" s="21">
        <f>SUM(C50:C56)</f>
        <v>41957831</v>
      </c>
    </row>
    <row r="50" spans="1:4" s="9" customFormat="1" ht="15" customHeight="1" x14ac:dyDescent="0.3">
      <c r="A50" s="20" t="s">
        <v>442</v>
      </c>
      <c r="B50" s="20" t="s">
        <v>443</v>
      </c>
      <c r="C50" s="21">
        <f>'4.pielikums'!C293</f>
        <v>24514998</v>
      </c>
    </row>
    <row r="51" spans="1:4" s="9" customFormat="1" ht="15" customHeight="1" x14ac:dyDescent="0.3">
      <c r="A51" s="20" t="s">
        <v>63</v>
      </c>
      <c r="B51" s="20" t="s">
        <v>444</v>
      </c>
      <c r="C51" s="21">
        <f>'4.pielikums'!F293</f>
        <v>9009646</v>
      </c>
    </row>
    <row r="52" spans="1:4" s="9" customFormat="1" ht="15" customHeight="1" x14ac:dyDescent="0.3">
      <c r="A52" s="20" t="s">
        <v>64</v>
      </c>
      <c r="B52" s="20" t="s">
        <v>445</v>
      </c>
      <c r="C52" s="21">
        <f>'4.pielikums'!L293</f>
        <v>127750</v>
      </c>
    </row>
    <row r="53" spans="1:4" s="9" customFormat="1" ht="15" customHeight="1" x14ac:dyDescent="0.3">
      <c r="A53" s="20" t="s">
        <v>446</v>
      </c>
      <c r="B53" s="20" t="s">
        <v>447</v>
      </c>
      <c r="C53" s="21">
        <f>'4.pielikums'!M293</f>
        <v>568062</v>
      </c>
    </row>
    <row r="54" spans="1:4" s="9" customFormat="1" ht="15" customHeight="1" x14ac:dyDescent="0.3">
      <c r="A54" s="20" t="s">
        <v>65</v>
      </c>
      <c r="B54" s="20" t="s">
        <v>448</v>
      </c>
      <c r="C54" s="21">
        <f>'4.pielikums'!N293</f>
        <v>5494154</v>
      </c>
    </row>
    <row r="55" spans="1:4" s="9" customFormat="1" ht="15" customHeight="1" x14ac:dyDescent="0.3">
      <c r="A55" s="20" t="s">
        <v>148</v>
      </c>
      <c r="B55" s="20" t="s">
        <v>449</v>
      </c>
      <c r="C55" s="21">
        <f>'4.pielikums'!O293</f>
        <v>1971586</v>
      </c>
    </row>
    <row r="56" spans="1:4" s="9" customFormat="1" ht="30" customHeight="1" x14ac:dyDescent="0.3">
      <c r="A56" s="20" t="s">
        <v>450</v>
      </c>
      <c r="B56" s="20" t="s">
        <v>451</v>
      </c>
      <c r="C56" s="21">
        <f>'4.pielikums'!P293</f>
        <v>271635</v>
      </c>
    </row>
    <row r="57" spans="1:4" s="9" customFormat="1" ht="30" customHeight="1" x14ac:dyDescent="0.3">
      <c r="A57" s="31"/>
      <c r="B57" s="31"/>
      <c r="C57" s="32"/>
    </row>
    <row r="58" spans="1:4" s="9" customFormat="1" ht="15" customHeight="1" x14ac:dyDescent="0.3">
      <c r="A58" s="27" t="s">
        <v>452</v>
      </c>
      <c r="B58" s="20" t="s">
        <v>437</v>
      </c>
      <c r="C58" s="21">
        <f>C10-C38</f>
        <v>-1426672</v>
      </c>
      <c r="D58" s="81"/>
    </row>
    <row r="59" spans="1:4" s="9" customFormat="1" ht="23.25" customHeight="1" x14ac:dyDescent="0.3">
      <c r="A59" s="27" t="s">
        <v>453</v>
      </c>
      <c r="B59" s="20" t="s">
        <v>437</v>
      </c>
      <c r="C59" s="28">
        <f>C60+C67</f>
        <v>1426671.9900000002</v>
      </c>
      <c r="D59" s="81"/>
    </row>
    <row r="60" spans="1:4" s="33" customFormat="1" ht="15" customHeight="1" x14ac:dyDescent="0.3">
      <c r="A60" s="20" t="s">
        <v>454</v>
      </c>
      <c r="B60" s="20" t="s">
        <v>455</v>
      </c>
      <c r="C60" s="28">
        <f>C61+C64</f>
        <v>2654914</v>
      </c>
    </row>
    <row r="61" spans="1:4" s="34" customFormat="1" ht="15" customHeight="1" x14ac:dyDescent="0.3">
      <c r="A61" s="20" t="s">
        <v>456</v>
      </c>
      <c r="B61" s="20" t="s">
        <v>457</v>
      </c>
      <c r="C61" s="28">
        <f>C62-C63</f>
        <v>8543</v>
      </c>
    </row>
    <row r="62" spans="1:4" s="34" customFormat="1" ht="15" customHeight="1" x14ac:dyDescent="0.3">
      <c r="A62" s="20" t="s">
        <v>592</v>
      </c>
      <c r="B62" s="20" t="s">
        <v>594</v>
      </c>
      <c r="C62" s="28">
        <v>8543</v>
      </c>
    </row>
    <row r="63" spans="1:4" s="34" customFormat="1" ht="15" customHeight="1" x14ac:dyDescent="0.3">
      <c r="A63" s="20" t="s">
        <v>593</v>
      </c>
      <c r="B63" s="20" t="s">
        <v>595</v>
      </c>
      <c r="C63" s="28">
        <v>0</v>
      </c>
    </row>
    <row r="64" spans="1:4" s="35" customFormat="1" ht="15" customHeight="1" x14ac:dyDescent="0.3">
      <c r="A64" s="20" t="s">
        <v>458</v>
      </c>
      <c r="B64" s="20" t="s">
        <v>459</v>
      </c>
      <c r="C64" s="28">
        <f>C65-C66</f>
        <v>2646371</v>
      </c>
    </row>
    <row r="65" spans="1:4" s="9" customFormat="1" ht="15" customHeight="1" x14ac:dyDescent="0.3">
      <c r="A65" s="20" t="s">
        <v>460</v>
      </c>
      <c r="B65" s="20" t="s">
        <v>461</v>
      </c>
      <c r="C65" s="28">
        <f>1675654+1020614</f>
        <v>2696268</v>
      </c>
    </row>
    <row r="66" spans="1:4" s="9" customFormat="1" ht="30" customHeight="1" x14ac:dyDescent="0.3">
      <c r="A66" s="20" t="s">
        <v>462</v>
      </c>
      <c r="B66" s="20" t="s">
        <v>528</v>
      </c>
      <c r="C66" s="28">
        <v>49897</v>
      </c>
      <c r="D66" s="134"/>
    </row>
    <row r="67" spans="1:4" s="9" customFormat="1" ht="15" customHeight="1" x14ac:dyDescent="0.3">
      <c r="A67" s="20" t="s">
        <v>156</v>
      </c>
      <c r="B67" s="20" t="s">
        <v>463</v>
      </c>
      <c r="C67" s="28">
        <f>C68-C69</f>
        <v>-1228242.0099999998</v>
      </c>
    </row>
    <row r="68" spans="1:4" s="9" customFormat="1" ht="15" customHeight="1" x14ac:dyDescent="0.3">
      <c r="A68" s="20" t="s">
        <v>464</v>
      </c>
      <c r="B68" s="20" t="s">
        <v>468</v>
      </c>
      <c r="C68" s="28">
        <v>1775293</v>
      </c>
    </row>
    <row r="69" spans="1:4" s="9" customFormat="1" ht="15" customHeight="1" x14ac:dyDescent="0.3">
      <c r="A69" s="20" t="s">
        <v>465</v>
      </c>
      <c r="B69" s="20" t="s">
        <v>466</v>
      </c>
      <c r="C69" s="36">
        <f>2789163-14088-11396-135063.91+89856.01+150000+135063.91</f>
        <v>3003535.01</v>
      </c>
    </row>
    <row r="70" spans="1:4" x14ac:dyDescent="0.3">
      <c r="A70" s="152"/>
    </row>
    <row r="71" spans="1:4" x14ac:dyDescent="0.3">
      <c r="A71" s="196" t="s">
        <v>706</v>
      </c>
      <c r="B71" s="196"/>
      <c r="C71" s="196"/>
    </row>
    <row r="72" spans="1:4" ht="18" x14ac:dyDescent="0.35">
      <c r="A72" s="48"/>
    </row>
  </sheetData>
  <mergeCells count="2">
    <mergeCell ref="A7:C7"/>
    <mergeCell ref="A71:C71"/>
  </mergeCells>
  <pageMargins left="0.25" right="0.25" top="0.75" bottom="0.75" header="0.3" footer="0.3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03"/>
  <sheetViews>
    <sheetView zoomScale="87" zoomScaleNormal="87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B21" sqref="B21"/>
    </sheetView>
  </sheetViews>
  <sheetFormatPr defaultColWidth="9.109375" defaultRowHeight="14.4" x14ac:dyDescent="0.3"/>
  <cols>
    <col min="1" max="1" width="14.33203125" style="74" customWidth="1"/>
    <col min="2" max="2" width="48.33203125" style="74" customWidth="1"/>
    <col min="3" max="3" width="15.109375" style="74" customWidth="1"/>
    <col min="4" max="4" width="15.6640625" style="74" customWidth="1"/>
    <col min="5" max="5" width="14.44140625" style="74" customWidth="1"/>
    <col min="6" max="6" width="15.6640625" style="74" customWidth="1"/>
    <col min="7" max="7" width="9.88671875" style="45" bestFit="1" customWidth="1"/>
    <col min="8" max="16384" width="9.109375" style="45"/>
  </cols>
  <sheetData>
    <row r="1" spans="1:7" customFormat="1" ht="9" customHeight="1" x14ac:dyDescent="0.3">
      <c r="B1" s="68"/>
      <c r="C1" s="68"/>
      <c r="D1" s="68"/>
      <c r="E1" s="68"/>
      <c r="F1" s="68"/>
    </row>
    <row r="2" spans="1:7" customFormat="1" ht="12.6" customHeight="1" x14ac:dyDescent="0.3">
      <c r="B2" s="68"/>
      <c r="C2" s="68"/>
      <c r="D2" s="68"/>
      <c r="E2" s="68"/>
      <c r="F2" s="68"/>
    </row>
    <row r="3" spans="1:7" customFormat="1" ht="15.6" x14ac:dyDescent="0.3">
      <c r="B3" s="68"/>
      <c r="C3" s="68"/>
      <c r="D3" s="68"/>
      <c r="E3" s="68"/>
      <c r="F3" s="69" t="s">
        <v>707</v>
      </c>
    </row>
    <row r="4" spans="1:7" customFormat="1" ht="15.6" x14ac:dyDescent="0.3">
      <c r="B4" s="68"/>
      <c r="C4" s="68"/>
      <c r="D4" s="68"/>
      <c r="E4" s="68"/>
      <c r="F4" s="69" t="s">
        <v>523</v>
      </c>
    </row>
    <row r="5" spans="1:7" customFormat="1" ht="15.6" x14ac:dyDescent="0.3">
      <c r="B5" s="68"/>
      <c r="C5" s="68"/>
      <c r="D5" s="68"/>
      <c r="E5" s="68"/>
      <c r="F5" s="69" t="s">
        <v>708</v>
      </c>
    </row>
    <row r="6" spans="1:7" customFormat="1" ht="15.75" customHeight="1" x14ac:dyDescent="0.3">
      <c r="B6" s="68"/>
      <c r="C6" s="68"/>
      <c r="D6" s="68"/>
      <c r="E6" s="68"/>
      <c r="F6" s="69" t="s">
        <v>704</v>
      </c>
    </row>
    <row r="7" spans="1:7" customFormat="1" ht="15.75" customHeight="1" x14ac:dyDescent="0.3">
      <c r="B7" s="68"/>
      <c r="C7" s="68"/>
      <c r="D7" s="68"/>
      <c r="E7" s="68"/>
      <c r="F7" s="111"/>
    </row>
    <row r="8" spans="1:7" customFormat="1" ht="15.75" customHeight="1" x14ac:dyDescent="0.3">
      <c r="A8" s="91" t="s">
        <v>709</v>
      </c>
      <c r="B8" s="112"/>
      <c r="C8" s="112"/>
      <c r="D8" s="112"/>
      <c r="E8" s="68"/>
      <c r="F8" s="68"/>
    </row>
    <row r="9" spans="1:7" customFormat="1" ht="15.75" customHeight="1" x14ac:dyDescent="0.3">
      <c r="A9" s="92"/>
      <c r="B9" s="113"/>
      <c r="C9" s="112"/>
      <c r="D9" s="112"/>
      <c r="E9" s="112"/>
      <c r="F9" s="112"/>
    </row>
    <row r="10" spans="1:7" ht="15" customHeight="1" x14ac:dyDescent="0.3">
      <c r="A10" s="197" t="s">
        <v>149</v>
      </c>
      <c r="B10" s="198" t="s">
        <v>214</v>
      </c>
      <c r="C10" s="199" t="s">
        <v>215</v>
      </c>
      <c r="D10" s="199"/>
      <c r="E10" s="199"/>
      <c r="F10" s="197" t="s">
        <v>613</v>
      </c>
    </row>
    <row r="11" spans="1:7" ht="64.5" customHeight="1" x14ac:dyDescent="0.3">
      <c r="A11" s="197"/>
      <c r="B11" s="198"/>
      <c r="C11" s="156" t="s">
        <v>608</v>
      </c>
      <c r="D11" s="156" t="s">
        <v>609</v>
      </c>
      <c r="E11" s="156" t="s">
        <v>610</v>
      </c>
      <c r="F11" s="197"/>
    </row>
    <row r="12" spans="1:7" ht="15" customHeight="1" x14ac:dyDescent="0.3">
      <c r="A12" s="75" t="s">
        <v>216</v>
      </c>
      <c r="B12" s="58" t="s">
        <v>217</v>
      </c>
      <c r="C12" s="60">
        <f>C14+C17+C29+C37+C51+C63+C55+C35</f>
        <v>14090769</v>
      </c>
      <c r="D12" s="60">
        <f>D119+D122+D395+D55</f>
        <v>4526887</v>
      </c>
      <c r="E12" s="60">
        <f>E119+E70+E67</f>
        <v>21913503</v>
      </c>
      <c r="F12" s="60">
        <f>F14+F17+F29+F35+F37+F51+F55+F63+F67+F70+F119+F121</f>
        <v>40531159</v>
      </c>
      <c r="G12" s="62"/>
    </row>
    <row r="13" spans="1:7" ht="15" customHeight="1" x14ac:dyDescent="0.3">
      <c r="A13" s="58">
        <v>1</v>
      </c>
      <c r="B13" s="58" t="s">
        <v>218</v>
      </c>
      <c r="C13" s="60">
        <f>C14+C17+C29</f>
        <v>13505251</v>
      </c>
      <c r="D13" s="61"/>
      <c r="E13" s="89"/>
      <c r="F13" s="60">
        <f t="shared" ref="F13:F29" si="0">C13</f>
        <v>13505251</v>
      </c>
    </row>
    <row r="14" spans="1:7" ht="15" customHeight="1" x14ac:dyDescent="0.3">
      <c r="A14" s="58" t="s">
        <v>219</v>
      </c>
      <c r="B14" s="58" t="s">
        <v>220</v>
      </c>
      <c r="C14" s="60">
        <f>C15</f>
        <v>12315460</v>
      </c>
      <c r="D14" s="61"/>
      <c r="E14" s="89"/>
      <c r="F14" s="60">
        <f t="shared" si="0"/>
        <v>12315460</v>
      </c>
    </row>
    <row r="15" spans="1:7" ht="15" customHeight="1" x14ac:dyDescent="0.3">
      <c r="A15" s="58" t="s">
        <v>221</v>
      </c>
      <c r="B15" s="58" t="s">
        <v>222</v>
      </c>
      <c r="C15" s="60">
        <f>C16</f>
        <v>12315460</v>
      </c>
      <c r="D15" s="61"/>
      <c r="E15" s="89"/>
      <c r="F15" s="60">
        <f t="shared" si="0"/>
        <v>12315460</v>
      </c>
    </row>
    <row r="16" spans="1:7" ht="15" customHeight="1" x14ac:dyDescent="0.3">
      <c r="A16" s="76" t="s">
        <v>223</v>
      </c>
      <c r="B16" s="57" t="s">
        <v>222</v>
      </c>
      <c r="C16" s="61">
        <v>12315460</v>
      </c>
      <c r="D16" s="61"/>
      <c r="E16" s="89"/>
      <c r="F16" s="61">
        <f t="shared" si="0"/>
        <v>12315460</v>
      </c>
    </row>
    <row r="17" spans="1:6" ht="15" customHeight="1" x14ac:dyDescent="0.3">
      <c r="A17" s="77" t="s">
        <v>224</v>
      </c>
      <c r="B17" s="58" t="s">
        <v>225</v>
      </c>
      <c r="C17" s="60">
        <f>C18</f>
        <v>1131791</v>
      </c>
      <c r="D17" s="61"/>
      <c r="E17" s="89"/>
      <c r="F17" s="60">
        <f t="shared" si="0"/>
        <v>1131791</v>
      </c>
    </row>
    <row r="18" spans="1:6" ht="15" customHeight="1" x14ac:dyDescent="0.3">
      <c r="A18" s="58" t="s">
        <v>226</v>
      </c>
      <c r="B18" s="58" t="s">
        <v>227</v>
      </c>
      <c r="C18" s="60">
        <f>C19+C22+C26</f>
        <v>1131791</v>
      </c>
      <c r="D18" s="61"/>
      <c r="E18" s="89"/>
      <c r="F18" s="60">
        <f t="shared" si="0"/>
        <v>1131791</v>
      </c>
    </row>
    <row r="19" spans="1:6" ht="15" customHeight="1" x14ac:dyDescent="0.3">
      <c r="A19" s="58" t="s">
        <v>228</v>
      </c>
      <c r="B19" s="58" t="s">
        <v>229</v>
      </c>
      <c r="C19" s="60">
        <f>C20+C21</f>
        <v>990358</v>
      </c>
      <c r="D19" s="61"/>
      <c r="E19" s="89"/>
      <c r="F19" s="60">
        <f t="shared" si="0"/>
        <v>990358</v>
      </c>
    </row>
    <row r="20" spans="1:6" ht="30" customHeight="1" x14ac:dyDescent="0.3">
      <c r="A20" s="57" t="s">
        <v>230</v>
      </c>
      <c r="B20" s="56" t="s">
        <v>231</v>
      </c>
      <c r="C20" s="61">
        <v>900358</v>
      </c>
      <c r="D20" s="61"/>
      <c r="E20" s="89"/>
      <c r="F20" s="61">
        <f t="shared" si="0"/>
        <v>900358</v>
      </c>
    </row>
    <row r="21" spans="1:6" ht="30" customHeight="1" x14ac:dyDescent="0.3">
      <c r="A21" s="57" t="s">
        <v>232</v>
      </c>
      <c r="B21" s="56" t="s">
        <v>731</v>
      </c>
      <c r="C21" s="61">
        <v>90000</v>
      </c>
      <c r="D21" s="61"/>
      <c r="E21" s="89"/>
      <c r="F21" s="61">
        <f t="shared" si="0"/>
        <v>90000</v>
      </c>
    </row>
    <row r="22" spans="1:6" ht="15" customHeight="1" x14ac:dyDescent="0.3">
      <c r="A22" s="58" t="s">
        <v>233</v>
      </c>
      <c r="B22" s="58" t="s">
        <v>234</v>
      </c>
      <c r="C22" s="60">
        <f>C23+C25</f>
        <v>85579</v>
      </c>
      <c r="D22" s="61"/>
      <c r="E22" s="89"/>
      <c r="F22" s="60">
        <f t="shared" si="0"/>
        <v>85579</v>
      </c>
    </row>
    <row r="23" spans="1:6" ht="30" customHeight="1" x14ac:dyDescent="0.3">
      <c r="A23" s="57" t="s">
        <v>235</v>
      </c>
      <c r="B23" s="56" t="s">
        <v>236</v>
      </c>
      <c r="C23" s="61">
        <v>80579</v>
      </c>
      <c r="D23" s="61"/>
      <c r="E23" s="89"/>
      <c r="F23" s="61">
        <f t="shared" si="0"/>
        <v>80579</v>
      </c>
    </row>
    <row r="24" spans="1:6" ht="15" customHeight="1" x14ac:dyDescent="0.3">
      <c r="A24" s="57"/>
      <c r="B24" s="56" t="s">
        <v>237</v>
      </c>
      <c r="C24" s="61">
        <v>4275</v>
      </c>
      <c r="D24" s="61"/>
      <c r="E24" s="89"/>
      <c r="F24" s="61">
        <f t="shared" si="0"/>
        <v>4275</v>
      </c>
    </row>
    <row r="25" spans="1:6" ht="30" customHeight="1" x14ac:dyDescent="0.3">
      <c r="A25" s="57" t="s">
        <v>238</v>
      </c>
      <c r="B25" s="56" t="s">
        <v>730</v>
      </c>
      <c r="C25" s="61">
        <v>5000</v>
      </c>
      <c r="D25" s="61"/>
      <c r="E25" s="89"/>
      <c r="F25" s="61">
        <f t="shared" si="0"/>
        <v>5000</v>
      </c>
    </row>
    <row r="26" spans="1:6" ht="15" customHeight="1" x14ac:dyDescent="0.3">
      <c r="A26" s="58" t="s">
        <v>239</v>
      </c>
      <c r="B26" s="59" t="s">
        <v>240</v>
      </c>
      <c r="C26" s="60">
        <f>C27+C28</f>
        <v>55854</v>
      </c>
      <c r="D26" s="61"/>
      <c r="E26" s="89"/>
      <c r="F26" s="60">
        <f t="shared" si="0"/>
        <v>55854</v>
      </c>
    </row>
    <row r="27" spans="1:6" ht="30" customHeight="1" x14ac:dyDescent="0.3">
      <c r="A27" s="57" t="s">
        <v>241</v>
      </c>
      <c r="B27" s="56" t="s">
        <v>242</v>
      </c>
      <c r="C27" s="61">
        <v>45854</v>
      </c>
      <c r="D27" s="61"/>
      <c r="E27" s="89"/>
      <c r="F27" s="61">
        <f t="shared" si="0"/>
        <v>45854</v>
      </c>
    </row>
    <row r="28" spans="1:6" ht="30" customHeight="1" x14ac:dyDescent="0.3">
      <c r="A28" s="57" t="s">
        <v>243</v>
      </c>
      <c r="B28" s="56" t="s">
        <v>729</v>
      </c>
      <c r="C28" s="61">
        <v>10000</v>
      </c>
      <c r="D28" s="61"/>
      <c r="E28" s="89"/>
      <c r="F28" s="61">
        <f t="shared" si="0"/>
        <v>10000</v>
      </c>
    </row>
    <row r="29" spans="1:6" ht="30" customHeight="1" x14ac:dyDescent="0.3">
      <c r="A29" s="58" t="s">
        <v>244</v>
      </c>
      <c r="B29" s="59" t="s">
        <v>245</v>
      </c>
      <c r="C29" s="60">
        <f>C30+C32</f>
        <v>58000</v>
      </c>
      <c r="D29" s="61"/>
      <c r="E29" s="89"/>
      <c r="F29" s="60">
        <f t="shared" si="0"/>
        <v>58000</v>
      </c>
    </row>
    <row r="30" spans="1:6" ht="30" customHeight="1" x14ac:dyDescent="0.3">
      <c r="A30" s="58" t="s">
        <v>246</v>
      </c>
      <c r="B30" s="59" t="s">
        <v>247</v>
      </c>
      <c r="C30" s="60">
        <f>C31</f>
        <v>8000</v>
      </c>
      <c r="D30" s="61"/>
      <c r="E30" s="89"/>
      <c r="F30" s="60">
        <f>F31</f>
        <v>8000</v>
      </c>
    </row>
    <row r="31" spans="1:6" ht="15" customHeight="1" x14ac:dyDescent="0.3">
      <c r="A31" s="57" t="s">
        <v>248</v>
      </c>
      <c r="B31" s="57" t="s">
        <v>249</v>
      </c>
      <c r="C31" s="61">
        <v>8000</v>
      </c>
      <c r="D31" s="61"/>
      <c r="E31" s="89"/>
      <c r="F31" s="61">
        <f>C31</f>
        <v>8000</v>
      </c>
    </row>
    <row r="32" spans="1:6" ht="30" customHeight="1" x14ac:dyDescent="0.3">
      <c r="A32" s="58" t="s">
        <v>250</v>
      </c>
      <c r="B32" s="59" t="s">
        <v>251</v>
      </c>
      <c r="C32" s="60">
        <f>C33</f>
        <v>50000</v>
      </c>
      <c r="D32" s="60"/>
      <c r="E32" s="88"/>
      <c r="F32" s="60">
        <f>F33</f>
        <v>50000</v>
      </c>
    </row>
    <row r="33" spans="1:6" ht="15" customHeight="1" x14ac:dyDescent="0.3">
      <c r="A33" s="57" t="s">
        <v>252</v>
      </c>
      <c r="B33" s="57" t="s">
        <v>253</v>
      </c>
      <c r="C33" s="61">
        <v>50000</v>
      </c>
      <c r="D33" s="61"/>
      <c r="E33" s="89"/>
      <c r="F33" s="61">
        <f>C33</f>
        <v>50000</v>
      </c>
    </row>
    <row r="34" spans="1:6" ht="20.25" customHeight="1" x14ac:dyDescent="0.3">
      <c r="A34" s="58">
        <v>2</v>
      </c>
      <c r="B34" s="58" t="s">
        <v>254</v>
      </c>
      <c r="C34" s="60">
        <f>C37+C51+C55+C63+C35</f>
        <v>585518</v>
      </c>
      <c r="D34" s="61"/>
      <c r="E34" s="89"/>
      <c r="F34" s="60">
        <f>C34</f>
        <v>585518</v>
      </c>
    </row>
    <row r="35" spans="1:6" ht="15" customHeight="1" x14ac:dyDescent="0.3">
      <c r="A35" s="58" t="s">
        <v>255</v>
      </c>
      <c r="B35" s="58" t="s">
        <v>256</v>
      </c>
      <c r="C35" s="60">
        <f>C36</f>
        <v>10000</v>
      </c>
      <c r="D35" s="60"/>
      <c r="E35" s="88"/>
      <c r="F35" s="60">
        <f>F36</f>
        <v>10000</v>
      </c>
    </row>
    <row r="36" spans="1:6" ht="30" customHeight="1" x14ac:dyDescent="0.3">
      <c r="A36" s="57" t="s">
        <v>257</v>
      </c>
      <c r="B36" s="56" t="s">
        <v>258</v>
      </c>
      <c r="C36" s="61">
        <v>10000</v>
      </c>
      <c r="D36" s="61"/>
      <c r="E36" s="89"/>
      <c r="F36" s="61">
        <f t="shared" ref="F36:F56" si="1">C36</f>
        <v>10000</v>
      </c>
    </row>
    <row r="37" spans="1:6" s="53" customFormat="1" ht="30" customHeight="1" x14ac:dyDescent="0.3">
      <c r="A37" s="58" t="s">
        <v>259</v>
      </c>
      <c r="B37" s="59" t="s">
        <v>260</v>
      </c>
      <c r="C37" s="60">
        <f>C38+C45</f>
        <v>16585</v>
      </c>
      <c r="D37" s="60"/>
      <c r="E37" s="88"/>
      <c r="F37" s="60">
        <f t="shared" si="1"/>
        <v>16585</v>
      </c>
    </row>
    <row r="38" spans="1:6" s="53" customFormat="1" ht="31.5" customHeight="1" x14ac:dyDescent="0.3">
      <c r="A38" s="58" t="s">
        <v>261</v>
      </c>
      <c r="B38" s="59" t="s">
        <v>701</v>
      </c>
      <c r="C38" s="60">
        <f>C39+C41+C43+C40+C42</f>
        <v>12185</v>
      </c>
      <c r="D38" s="60"/>
      <c r="E38" s="88"/>
      <c r="F38" s="60">
        <f t="shared" si="1"/>
        <v>12185</v>
      </c>
    </row>
    <row r="39" spans="1:6" ht="30" customHeight="1" x14ac:dyDescent="0.3">
      <c r="A39" s="57" t="s">
        <v>262</v>
      </c>
      <c r="B39" s="56" t="s">
        <v>263</v>
      </c>
      <c r="C39" s="61">
        <v>10000</v>
      </c>
      <c r="D39" s="61"/>
      <c r="E39" s="89"/>
      <c r="F39" s="61">
        <f t="shared" si="1"/>
        <v>10000</v>
      </c>
    </row>
    <row r="40" spans="1:6" ht="30" customHeight="1" x14ac:dyDescent="0.3">
      <c r="A40" s="57" t="s">
        <v>534</v>
      </c>
      <c r="B40" s="56" t="s">
        <v>535</v>
      </c>
      <c r="C40" s="61">
        <v>300</v>
      </c>
      <c r="D40" s="61"/>
      <c r="E40" s="89"/>
      <c r="F40" s="61">
        <f t="shared" si="1"/>
        <v>300</v>
      </c>
    </row>
    <row r="41" spans="1:6" ht="30" customHeight="1" x14ac:dyDescent="0.3">
      <c r="A41" s="57" t="s">
        <v>264</v>
      </c>
      <c r="B41" s="153" t="s">
        <v>265</v>
      </c>
      <c r="C41" s="61">
        <v>1400</v>
      </c>
      <c r="D41" s="61"/>
      <c r="E41" s="89"/>
      <c r="F41" s="61">
        <f t="shared" si="1"/>
        <v>1400</v>
      </c>
    </row>
    <row r="42" spans="1:6" ht="30.75" customHeight="1" x14ac:dyDescent="0.3">
      <c r="A42" s="57" t="s">
        <v>536</v>
      </c>
      <c r="B42" s="85" t="s">
        <v>537</v>
      </c>
      <c r="C42" s="61">
        <v>285</v>
      </c>
      <c r="D42" s="61"/>
      <c r="E42" s="89"/>
      <c r="F42" s="61">
        <f t="shared" si="1"/>
        <v>285</v>
      </c>
    </row>
    <row r="43" spans="1:6" ht="30" customHeight="1" x14ac:dyDescent="0.3">
      <c r="A43" s="57" t="s">
        <v>266</v>
      </c>
      <c r="B43" s="56" t="s">
        <v>267</v>
      </c>
      <c r="C43" s="61">
        <f>C44</f>
        <v>200</v>
      </c>
      <c r="D43" s="61"/>
      <c r="E43" s="89"/>
      <c r="F43" s="61">
        <f t="shared" si="1"/>
        <v>200</v>
      </c>
    </row>
    <row r="44" spans="1:6" ht="15" customHeight="1" x14ac:dyDescent="0.3">
      <c r="A44" s="57" t="s">
        <v>268</v>
      </c>
      <c r="B44" s="56" t="s">
        <v>269</v>
      </c>
      <c r="C44" s="61">
        <v>200</v>
      </c>
      <c r="D44" s="61"/>
      <c r="E44" s="89"/>
      <c r="F44" s="61">
        <f t="shared" si="1"/>
        <v>200</v>
      </c>
    </row>
    <row r="45" spans="1:6" ht="15" customHeight="1" x14ac:dyDescent="0.3">
      <c r="A45" s="58" t="s">
        <v>270</v>
      </c>
      <c r="B45" s="58" t="s">
        <v>271</v>
      </c>
      <c r="C45" s="60">
        <f>C46+C47+C48+C49+C50</f>
        <v>4400</v>
      </c>
      <c r="D45" s="61"/>
      <c r="E45" s="89"/>
      <c r="F45" s="60">
        <f t="shared" si="1"/>
        <v>4400</v>
      </c>
    </row>
    <row r="46" spans="1:6" ht="30" customHeight="1" x14ac:dyDescent="0.3">
      <c r="A46" s="57" t="s">
        <v>272</v>
      </c>
      <c r="B46" s="56" t="s">
        <v>273</v>
      </c>
      <c r="C46" s="61">
        <v>100</v>
      </c>
      <c r="D46" s="61"/>
      <c r="E46" s="89"/>
      <c r="F46" s="61">
        <f t="shared" si="1"/>
        <v>100</v>
      </c>
    </row>
    <row r="47" spans="1:6" ht="27" customHeight="1" x14ac:dyDescent="0.3">
      <c r="A47" s="57" t="s">
        <v>274</v>
      </c>
      <c r="B47" s="56" t="s">
        <v>275</v>
      </c>
      <c r="C47" s="61">
        <v>1100</v>
      </c>
      <c r="D47" s="61"/>
      <c r="E47" s="89"/>
      <c r="F47" s="61">
        <f t="shared" si="1"/>
        <v>1100</v>
      </c>
    </row>
    <row r="48" spans="1:6" ht="30" customHeight="1" x14ac:dyDescent="0.3">
      <c r="A48" s="57" t="s">
        <v>276</v>
      </c>
      <c r="B48" s="56" t="s">
        <v>277</v>
      </c>
      <c r="C48" s="61">
        <v>100</v>
      </c>
      <c r="D48" s="61"/>
      <c r="E48" s="89"/>
      <c r="F48" s="61">
        <f t="shared" si="1"/>
        <v>100</v>
      </c>
    </row>
    <row r="49" spans="1:6" ht="15" customHeight="1" x14ac:dyDescent="0.3">
      <c r="A49" s="57" t="s">
        <v>278</v>
      </c>
      <c r="B49" s="56" t="s">
        <v>279</v>
      </c>
      <c r="C49" s="61">
        <v>3000</v>
      </c>
      <c r="D49" s="61"/>
      <c r="E49" s="89"/>
      <c r="F49" s="61">
        <f t="shared" si="1"/>
        <v>3000</v>
      </c>
    </row>
    <row r="50" spans="1:6" ht="15" customHeight="1" x14ac:dyDescent="0.3">
      <c r="A50" s="57" t="s">
        <v>280</v>
      </c>
      <c r="B50" s="56" t="s">
        <v>281</v>
      </c>
      <c r="C50" s="61">
        <v>100</v>
      </c>
      <c r="D50" s="61"/>
      <c r="E50" s="89"/>
      <c r="F50" s="61">
        <f t="shared" si="1"/>
        <v>100</v>
      </c>
    </row>
    <row r="51" spans="1:6" ht="15" customHeight="1" x14ac:dyDescent="0.3">
      <c r="A51" s="58" t="s">
        <v>282</v>
      </c>
      <c r="B51" s="58" t="s">
        <v>283</v>
      </c>
      <c r="C51" s="60">
        <f>C52+C54</f>
        <v>2500</v>
      </c>
      <c r="D51" s="61"/>
      <c r="E51" s="89"/>
      <c r="F51" s="60">
        <f t="shared" si="1"/>
        <v>2500</v>
      </c>
    </row>
    <row r="52" spans="1:6" ht="15" customHeight="1" x14ac:dyDescent="0.3">
      <c r="A52" s="57" t="s">
        <v>284</v>
      </c>
      <c r="B52" s="56" t="s">
        <v>285</v>
      </c>
      <c r="C52" s="61">
        <f>C53</f>
        <v>1500</v>
      </c>
      <c r="D52" s="61"/>
      <c r="E52" s="89"/>
      <c r="F52" s="61">
        <f t="shared" si="1"/>
        <v>1500</v>
      </c>
    </row>
    <row r="53" spans="1:6" ht="30" customHeight="1" x14ac:dyDescent="0.3">
      <c r="A53" s="57" t="s">
        <v>286</v>
      </c>
      <c r="B53" s="56" t="s">
        <v>287</v>
      </c>
      <c r="C53" s="61">
        <v>1500</v>
      </c>
      <c r="D53" s="61"/>
      <c r="E53" s="89"/>
      <c r="F53" s="61">
        <f t="shared" si="1"/>
        <v>1500</v>
      </c>
    </row>
    <row r="54" spans="1:6" ht="30" customHeight="1" x14ac:dyDescent="0.3">
      <c r="A54" s="57" t="s">
        <v>288</v>
      </c>
      <c r="B54" s="56" t="s">
        <v>289</v>
      </c>
      <c r="C54" s="61">
        <v>1000</v>
      </c>
      <c r="D54" s="61"/>
      <c r="E54" s="89"/>
      <c r="F54" s="61">
        <f t="shared" si="1"/>
        <v>1000</v>
      </c>
    </row>
    <row r="55" spans="1:6" ht="15" customHeight="1" x14ac:dyDescent="0.3">
      <c r="A55" s="58" t="s">
        <v>290</v>
      </c>
      <c r="B55" s="59" t="s">
        <v>291</v>
      </c>
      <c r="C55" s="60">
        <f>C56</f>
        <v>36433</v>
      </c>
      <c r="D55" s="60"/>
      <c r="E55" s="89"/>
      <c r="F55" s="60">
        <f t="shared" si="1"/>
        <v>36433</v>
      </c>
    </row>
    <row r="56" spans="1:6" ht="30" customHeight="1" x14ac:dyDescent="0.3">
      <c r="A56" s="57" t="s">
        <v>292</v>
      </c>
      <c r="B56" s="56" t="s">
        <v>293</v>
      </c>
      <c r="C56" s="61">
        <f>C57</f>
        <v>36433</v>
      </c>
      <c r="D56" s="61"/>
      <c r="E56" s="89"/>
      <c r="F56" s="61">
        <f t="shared" si="1"/>
        <v>36433</v>
      </c>
    </row>
    <row r="57" spans="1:6" ht="15" customHeight="1" x14ac:dyDescent="0.3">
      <c r="A57" s="57" t="s">
        <v>294</v>
      </c>
      <c r="B57" s="56" t="s">
        <v>295</v>
      </c>
      <c r="C57" s="61">
        <f>SUM(C58:C62)</f>
        <v>36433</v>
      </c>
      <c r="D57" s="61"/>
      <c r="E57" s="89"/>
      <c r="F57" s="61">
        <f>SUM(F58:F62)</f>
        <v>36433</v>
      </c>
    </row>
    <row r="58" spans="1:6" ht="15" customHeight="1" x14ac:dyDescent="0.3">
      <c r="A58" s="57"/>
      <c r="B58" s="57" t="s">
        <v>638</v>
      </c>
      <c r="C58" s="61">
        <v>4000</v>
      </c>
      <c r="D58" s="61"/>
      <c r="E58" s="89"/>
      <c r="F58" s="61">
        <f t="shared" ref="F58:F62" si="2">C58</f>
        <v>4000</v>
      </c>
    </row>
    <row r="59" spans="1:6" ht="15" customHeight="1" x14ac:dyDescent="0.3">
      <c r="A59" s="57"/>
      <c r="B59" s="57" t="s">
        <v>296</v>
      </c>
      <c r="C59" s="61">
        <v>1780</v>
      </c>
      <c r="D59" s="61"/>
      <c r="E59" s="89"/>
      <c r="F59" s="61">
        <f t="shared" si="2"/>
        <v>1780</v>
      </c>
    </row>
    <row r="60" spans="1:6" ht="15" customHeight="1" x14ac:dyDescent="0.3">
      <c r="A60" s="57"/>
      <c r="B60" s="56" t="s">
        <v>32</v>
      </c>
      <c r="C60" s="61">
        <v>420</v>
      </c>
      <c r="D60" s="61"/>
      <c r="E60" s="89"/>
      <c r="F60" s="61">
        <f t="shared" si="2"/>
        <v>420</v>
      </c>
    </row>
    <row r="61" spans="1:6" ht="15" customHeight="1" x14ac:dyDescent="0.3">
      <c r="A61" s="57"/>
      <c r="B61" s="56" t="s">
        <v>44</v>
      </c>
      <c r="C61" s="61">
        <v>20910</v>
      </c>
      <c r="D61" s="61"/>
      <c r="E61" s="89"/>
      <c r="F61" s="61">
        <f t="shared" si="2"/>
        <v>20910</v>
      </c>
    </row>
    <row r="62" spans="1:6" ht="15" customHeight="1" x14ac:dyDescent="0.3">
      <c r="A62" s="57"/>
      <c r="B62" s="56" t="s">
        <v>97</v>
      </c>
      <c r="C62" s="61">
        <v>9323</v>
      </c>
      <c r="D62" s="61"/>
      <c r="E62" s="89"/>
      <c r="F62" s="61">
        <f t="shared" si="2"/>
        <v>9323</v>
      </c>
    </row>
    <row r="63" spans="1:6" ht="30" customHeight="1" x14ac:dyDescent="0.3">
      <c r="A63" s="58" t="s">
        <v>297</v>
      </c>
      <c r="B63" s="59" t="s">
        <v>298</v>
      </c>
      <c r="C63" s="60">
        <f>C64+C65</f>
        <v>520000</v>
      </c>
      <c r="D63" s="61"/>
      <c r="E63" s="89"/>
      <c r="F63" s="60">
        <f>F64+F65</f>
        <v>520000</v>
      </c>
    </row>
    <row r="64" spans="1:6" ht="15" customHeight="1" x14ac:dyDescent="0.3">
      <c r="A64" s="57" t="s">
        <v>299</v>
      </c>
      <c r="B64" s="56" t="s">
        <v>300</v>
      </c>
      <c r="C64" s="61">
        <v>100000</v>
      </c>
      <c r="D64" s="61"/>
      <c r="E64" s="89"/>
      <c r="F64" s="61">
        <f>C64</f>
        <v>100000</v>
      </c>
    </row>
    <row r="65" spans="1:6" ht="15" customHeight="1" x14ac:dyDescent="0.3">
      <c r="A65" s="57" t="s">
        <v>301</v>
      </c>
      <c r="B65" s="57" t="s">
        <v>302</v>
      </c>
      <c r="C65" s="61">
        <f>C66</f>
        <v>420000</v>
      </c>
      <c r="D65" s="61"/>
      <c r="E65" s="89"/>
      <c r="F65" s="61">
        <f>C65</f>
        <v>420000</v>
      </c>
    </row>
    <row r="66" spans="1:6" ht="15" customHeight="1" x14ac:dyDescent="0.3">
      <c r="A66" s="57" t="s">
        <v>303</v>
      </c>
      <c r="B66" s="57" t="s">
        <v>304</v>
      </c>
      <c r="C66" s="61">
        <v>420000</v>
      </c>
      <c r="D66" s="61"/>
      <c r="E66" s="89"/>
      <c r="F66" s="61">
        <f>C66</f>
        <v>420000</v>
      </c>
    </row>
    <row r="67" spans="1:6" ht="47.1" customHeight="1" x14ac:dyDescent="0.3">
      <c r="A67" s="58" t="s">
        <v>305</v>
      </c>
      <c r="B67" s="59" t="s">
        <v>306</v>
      </c>
      <c r="C67" s="60"/>
      <c r="D67" s="60"/>
      <c r="E67" s="88">
        <f>E68+E69</f>
        <v>15865</v>
      </c>
      <c r="F67" s="60">
        <f>E67</f>
        <v>15865</v>
      </c>
    </row>
    <row r="68" spans="1:6" ht="30.6" customHeight="1" x14ac:dyDescent="0.3">
      <c r="A68" s="57" t="s">
        <v>518</v>
      </c>
      <c r="B68" s="56" t="s">
        <v>728</v>
      </c>
      <c r="C68" s="60"/>
      <c r="D68" s="60"/>
      <c r="E68" s="89">
        <v>8000</v>
      </c>
      <c r="F68" s="61">
        <f>E68</f>
        <v>8000</v>
      </c>
    </row>
    <row r="69" spans="1:6" ht="30.6" customHeight="1" x14ac:dyDescent="0.3">
      <c r="A69" s="57"/>
      <c r="B69" s="83" t="s">
        <v>663</v>
      </c>
      <c r="C69" s="60"/>
      <c r="D69" s="60"/>
      <c r="E69" s="89">
        <v>7865</v>
      </c>
      <c r="F69" s="61">
        <f>E69</f>
        <v>7865</v>
      </c>
    </row>
    <row r="70" spans="1:6" ht="23.25" customHeight="1" x14ac:dyDescent="0.3">
      <c r="A70" s="58" t="s">
        <v>308</v>
      </c>
      <c r="B70" s="58" t="s">
        <v>309</v>
      </c>
      <c r="C70" s="60"/>
      <c r="D70" s="60"/>
      <c r="E70" s="88">
        <f>E71+E118+E104</f>
        <v>21897638</v>
      </c>
      <c r="F70" s="60">
        <f t="shared" ref="F70:F82" si="3">E70</f>
        <v>21897638</v>
      </c>
    </row>
    <row r="71" spans="1:6" ht="30" customHeight="1" x14ac:dyDescent="0.3">
      <c r="A71" s="58" t="s">
        <v>310</v>
      </c>
      <c r="B71" s="59" t="s">
        <v>311</v>
      </c>
      <c r="C71" s="60"/>
      <c r="D71" s="60"/>
      <c r="E71" s="88">
        <f>SUM(E72:E103)-E87</f>
        <v>11406011</v>
      </c>
      <c r="F71" s="60">
        <f>E71</f>
        <v>11406011</v>
      </c>
    </row>
    <row r="72" spans="1:6" ht="34.5" customHeight="1" x14ac:dyDescent="0.3">
      <c r="A72" s="57"/>
      <c r="B72" s="56" t="s">
        <v>686</v>
      </c>
      <c r="C72" s="60"/>
      <c r="D72" s="60"/>
      <c r="E72" s="89">
        <v>581097</v>
      </c>
      <c r="F72" s="61">
        <f t="shared" si="3"/>
        <v>581097</v>
      </c>
    </row>
    <row r="73" spans="1:6" ht="67.5" customHeight="1" x14ac:dyDescent="0.3">
      <c r="A73" s="57"/>
      <c r="B73" s="56" t="s">
        <v>312</v>
      </c>
      <c r="C73" s="61"/>
      <c r="D73" s="61"/>
      <c r="E73" s="89">
        <v>5350374</v>
      </c>
      <c r="F73" s="61">
        <f t="shared" si="3"/>
        <v>5350374</v>
      </c>
    </row>
    <row r="74" spans="1:6" ht="76.5" customHeight="1" x14ac:dyDescent="0.3">
      <c r="A74" s="57"/>
      <c r="B74" s="56" t="s">
        <v>313</v>
      </c>
      <c r="C74" s="61"/>
      <c r="D74" s="61"/>
      <c r="E74" s="89">
        <v>321564</v>
      </c>
      <c r="F74" s="61">
        <f t="shared" si="3"/>
        <v>321564</v>
      </c>
    </row>
    <row r="75" spans="1:6" ht="45" customHeight="1" x14ac:dyDescent="0.3">
      <c r="A75" s="57"/>
      <c r="B75" s="56" t="s">
        <v>314</v>
      </c>
      <c r="C75" s="61"/>
      <c r="D75" s="61"/>
      <c r="E75" s="89">
        <v>284679</v>
      </c>
      <c r="F75" s="61">
        <f t="shared" si="3"/>
        <v>284679</v>
      </c>
    </row>
    <row r="76" spans="1:6" ht="60" customHeight="1" x14ac:dyDescent="0.3">
      <c r="A76" s="57"/>
      <c r="B76" s="56" t="s">
        <v>727</v>
      </c>
      <c r="C76" s="61"/>
      <c r="D76" s="61"/>
      <c r="E76" s="89">
        <v>710883</v>
      </c>
      <c r="F76" s="61">
        <f t="shared" si="3"/>
        <v>710883</v>
      </c>
    </row>
    <row r="77" spans="1:6" ht="38.25" customHeight="1" x14ac:dyDescent="0.3">
      <c r="A77" s="57"/>
      <c r="B77" s="56" t="s">
        <v>635</v>
      </c>
      <c r="C77" s="61"/>
      <c r="D77" s="61"/>
      <c r="E77" s="89">
        <v>15120</v>
      </c>
      <c r="F77" s="61">
        <f t="shared" si="3"/>
        <v>15120</v>
      </c>
    </row>
    <row r="78" spans="1:6" ht="30" customHeight="1" x14ac:dyDescent="0.3">
      <c r="A78" s="57"/>
      <c r="B78" s="56" t="s">
        <v>315</v>
      </c>
      <c r="C78" s="61"/>
      <c r="D78" s="61"/>
      <c r="E78" s="89">
        <v>100980</v>
      </c>
      <c r="F78" s="61">
        <f t="shared" si="3"/>
        <v>100980</v>
      </c>
    </row>
    <row r="79" spans="1:6" ht="15" customHeight="1" x14ac:dyDescent="0.3">
      <c r="A79" s="57"/>
      <c r="B79" s="56" t="s">
        <v>316</v>
      </c>
      <c r="C79" s="61"/>
      <c r="D79" s="61"/>
      <c r="E79" s="89">
        <v>1033047</v>
      </c>
      <c r="F79" s="61">
        <f t="shared" si="3"/>
        <v>1033047</v>
      </c>
    </row>
    <row r="80" spans="1:6" ht="15" customHeight="1" x14ac:dyDescent="0.3">
      <c r="A80" s="57"/>
      <c r="B80" s="57" t="s">
        <v>317</v>
      </c>
      <c r="C80" s="61"/>
      <c r="D80" s="61"/>
      <c r="E80" s="89">
        <v>393455</v>
      </c>
      <c r="F80" s="61">
        <f t="shared" si="3"/>
        <v>393455</v>
      </c>
    </row>
    <row r="81" spans="1:6" ht="15" customHeight="1" x14ac:dyDescent="0.3">
      <c r="A81" s="57"/>
      <c r="B81" s="57" t="s">
        <v>318</v>
      </c>
      <c r="C81" s="61"/>
      <c r="D81" s="61"/>
      <c r="E81" s="89">
        <v>783113</v>
      </c>
      <c r="F81" s="61">
        <f t="shared" si="3"/>
        <v>783113</v>
      </c>
    </row>
    <row r="82" spans="1:6" ht="30" customHeight="1" x14ac:dyDescent="0.3">
      <c r="A82" s="57"/>
      <c r="B82" s="56" t="s">
        <v>726</v>
      </c>
      <c r="C82" s="61"/>
      <c r="D82" s="61"/>
      <c r="E82" s="89">
        <v>164527</v>
      </c>
      <c r="F82" s="61">
        <f t="shared" si="3"/>
        <v>164527</v>
      </c>
    </row>
    <row r="83" spans="1:6" ht="45" customHeight="1" x14ac:dyDescent="0.3">
      <c r="A83" s="57"/>
      <c r="B83" s="56" t="s">
        <v>319</v>
      </c>
      <c r="C83" s="61"/>
      <c r="D83" s="61"/>
      <c r="E83" s="89">
        <v>68526</v>
      </c>
      <c r="F83" s="61">
        <f>E83</f>
        <v>68526</v>
      </c>
    </row>
    <row r="84" spans="1:6" ht="30" customHeight="1" x14ac:dyDescent="0.3">
      <c r="A84" s="57"/>
      <c r="B84" s="56" t="s">
        <v>322</v>
      </c>
      <c r="C84" s="61"/>
      <c r="D84" s="61"/>
      <c r="E84" s="89">
        <v>27500</v>
      </c>
      <c r="F84" s="61">
        <f>E84</f>
        <v>27500</v>
      </c>
    </row>
    <row r="85" spans="1:6" ht="15" customHeight="1" x14ac:dyDescent="0.3">
      <c r="A85" s="57"/>
      <c r="B85" s="56" t="s">
        <v>323</v>
      </c>
      <c r="C85" s="61"/>
      <c r="D85" s="61"/>
      <c r="E85" s="89"/>
      <c r="F85" s="61">
        <f>E85</f>
        <v>0</v>
      </c>
    </row>
    <row r="86" spans="1:6" ht="30" customHeight="1" x14ac:dyDescent="0.3">
      <c r="A86" s="57"/>
      <c r="B86" s="56" t="s">
        <v>527</v>
      </c>
      <c r="C86" s="61"/>
      <c r="D86" s="61"/>
      <c r="E86" s="89">
        <v>201858</v>
      </c>
      <c r="F86" s="61">
        <f t="shared" ref="F86:F101" si="4">E86</f>
        <v>201858</v>
      </c>
    </row>
    <row r="87" spans="1:6" ht="15" customHeight="1" x14ac:dyDescent="0.3">
      <c r="A87" s="57"/>
      <c r="B87" s="57" t="s">
        <v>612</v>
      </c>
      <c r="C87" s="61"/>
      <c r="D87" s="61"/>
      <c r="E87" s="89">
        <f>SUM(E88:E95)</f>
        <v>120744</v>
      </c>
      <c r="F87" s="61">
        <f t="shared" si="4"/>
        <v>120744</v>
      </c>
    </row>
    <row r="88" spans="1:6" s="55" customFormat="1" ht="15" customHeight="1" x14ac:dyDescent="0.3">
      <c r="A88" s="78"/>
      <c r="B88" s="78" t="s">
        <v>174</v>
      </c>
      <c r="C88" s="65"/>
      <c r="D88" s="65"/>
      <c r="E88" s="90">
        <v>15093</v>
      </c>
      <c r="F88" s="65">
        <f t="shared" si="4"/>
        <v>15093</v>
      </c>
    </row>
    <row r="89" spans="1:6" s="55" customFormat="1" ht="15" customHeight="1" x14ac:dyDescent="0.3">
      <c r="A89" s="78"/>
      <c r="B89" s="78" t="s">
        <v>175</v>
      </c>
      <c r="C89" s="65"/>
      <c r="D89" s="65"/>
      <c r="E89" s="90">
        <v>15093</v>
      </c>
      <c r="F89" s="65">
        <f t="shared" si="4"/>
        <v>15093</v>
      </c>
    </row>
    <row r="90" spans="1:6" s="55" customFormat="1" ht="15" customHeight="1" x14ac:dyDescent="0.3">
      <c r="A90" s="78"/>
      <c r="B90" s="78" t="s">
        <v>178</v>
      </c>
      <c r="C90" s="65"/>
      <c r="D90" s="65"/>
      <c r="E90" s="90">
        <v>15093</v>
      </c>
      <c r="F90" s="65">
        <f t="shared" si="4"/>
        <v>15093</v>
      </c>
    </row>
    <row r="91" spans="1:6" s="55" customFormat="1" ht="15" customHeight="1" x14ac:dyDescent="0.3">
      <c r="A91" s="78"/>
      <c r="B91" s="78" t="s">
        <v>179</v>
      </c>
      <c r="C91" s="65"/>
      <c r="D91" s="65"/>
      <c r="E91" s="90">
        <v>15093</v>
      </c>
      <c r="F91" s="65">
        <f t="shared" si="4"/>
        <v>15093</v>
      </c>
    </row>
    <row r="92" spans="1:6" s="55" customFormat="1" ht="15" customHeight="1" x14ac:dyDescent="0.3">
      <c r="A92" s="78"/>
      <c r="B92" s="78" t="s">
        <v>176</v>
      </c>
      <c r="C92" s="65"/>
      <c r="D92" s="65"/>
      <c r="E92" s="90">
        <v>15093</v>
      </c>
      <c r="F92" s="65">
        <f t="shared" si="4"/>
        <v>15093</v>
      </c>
    </row>
    <row r="93" spans="1:6" s="55" customFormat="1" ht="15" customHeight="1" x14ac:dyDescent="0.3">
      <c r="A93" s="78"/>
      <c r="B93" s="78" t="s">
        <v>606</v>
      </c>
      <c r="C93" s="65"/>
      <c r="D93" s="65"/>
      <c r="E93" s="90">
        <v>15093</v>
      </c>
      <c r="F93" s="65">
        <f t="shared" si="4"/>
        <v>15093</v>
      </c>
    </row>
    <row r="94" spans="1:6" s="55" customFormat="1" ht="15" customHeight="1" x14ac:dyDescent="0.3">
      <c r="A94" s="78"/>
      <c r="B94" s="78" t="s">
        <v>177</v>
      </c>
      <c r="C94" s="65"/>
      <c r="D94" s="65"/>
      <c r="E94" s="90">
        <v>15093</v>
      </c>
      <c r="F94" s="65">
        <f t="shared" si="4"/>
        <v>15093</v>
      </c>
    </row>
    <row r="95" spans="1:6" s="55" customFormat="1" ht="15" customHeight="1" x14ac:dyDescent="0.3">
      <c r="A95" s="78"/>
      <c r="B95" s="78" t="s">
        <v>605</v>
      </c>
      <c r="C95" s="65"/>
      <c r="D95" s="65"/>
      <c r="E95" s="90">
        <v>15093</v>
      </c>
      <c r="F95" s="65">
        <f t="shared" si="4"/>
        <v>15093</v>
      </c>
    </row>
    <row r="96" spans="1:6" ht="15" customHeight="1" x14ac:dyDescent="0.3">
      <c r="A96" s="57"/>
      <c r="B96" s="78" t="s">
        <v>105</v>
      </c>
      <c r="C96" s="61"/>
      <c r="D96" s="61"/>
      <c r="E96" s="90">
        <v>30533</v>
      </c>
      <c r="F96" s="65">
        <f t="shared" si="4"/>
        <v>30533</v>
      </c>
    </row>
    <row r="97" spans="1:6" ht="30" customHeight="1" x14ac:dyDescent="0.3">
      <c r="A97" s="57"/>
      <c r="B97" s="56" t="s">
        <v>324</v>
      </c>
      <c r="C97" s="61"/>
      <c r="D97" s="61"/>
      <c r="E97" s="89">
        <v>778685</v>
      </c>
      <c r="F97" s="61">
        <f t="shared" si="4"/>
        <v>778685</v>
      </c>
    </row>
    <row r="98" spans="1:6" ht="45" customHeight="1" x14ac:dyDescent="0.3">
      <c r="A98" s="57"/>
      <c r="B98" s="56" t="s">
        <v>725</v>
      </c>
      <c r="C98" s="61"/>
      <c r="D98" s="61"/>
      <c r="E98" s="89">
        <v>13752</v>
      </c>
      <c r="F98" s="61">
        <f t="shared" si="4"/>
        <v>13752</v>
      </c>
    </row>
    <row r="99" spans="1:6" ht="34.5" customHeight="1" x14ac:dyDescent="0.3">
      <c r="A99" s="57"/>
      <c r="B99" s="85" t="s">
        <v>467</v>
      </c>
      <c r="C99" s="61"/>
      <c r="D99" s="61"/>
      <c r="E99" s="89">
        <v>34128</v>
      </c>
      <c r="F99" s="61">
        <f t="shared" si="4"/>
        <v>34128</v>
      </c>
    </row>
    <row r="100" spans="1:6" ht="30" customHeight="1" x14ac:dyDescent="0.3">
      <c r="A100" s="57"/>
      <c r="B100" s="85" t="s">
        <v>470</v>
      </c>
      <c r="C100" s="61"/>
      <c r="D100" s="61"/>
      <c r="E100" s="89">
        <v>15800</v>
      </c>
      <c r="F100" s="61">
        <f t="shared" si="4"/>
        <v>15800</v>
      </c>
    </row>
    <row r="101" spans="1:6" ht="48" customHeight="1" x14ac:dyDescent="0.3">
      <c r="A101" s="57"/>
      <c r="B101" s="85" t="s">
        <v>712</v>
      </c>
      <c r="C101" s="61"/>
      <c r="D101" s="61"/>
      <c r="E101" s="89">
        <v>66081</v>
      </c>
      <c r="F101" s="61">
        <f t="shared" si="4"/>
        <v>66081</v>
      </c>
    </row>
    <row r="102" spans="1:6" ht="51" customHeight="1" x14ac:dyDescent="0.3">
      <c r="A102" s="57"/>
      <c r="B102" s="63" t="s">
        <v>611</v>
      </c>
      <c r="C102" s="61"/>
      <c r="D102" s="61"/>
      <c r="E102" s="89">
        <v>18531</v>
      </c>
      <c r="F102" s="61">
        <f t="shared" ref="F102:F105" si="5">E102</f>
        <v>18531</v>
      </c>
    </row>
    <row r="103" spans="1:6" s="53" customFormat="1" ht="21.75" customHeight="1" x14ac:dyDescent="0.3">
      <c r="A103" s="57"/>
      <c r="B103" s="85" t="s">
        <v>325</v>
      </c>
      <c r="C103" s="61"/>
      <c r="D103" s="61"/>
      <c r="E103" s="89">
        <v>291034</v>
      </c>
      <c r="F103" s="61">
        <f t="shared" si="5"/>
        <v>291034</v>
      </c>
    </row>
    <row r="104" spans="1:6" ht="69.75" customHeight="1" x14ac:dyDescent="0.3">
      <c r="A104" s="58" t="s">
        <v>326</v>
      </c>
      <c r="B104" s="59" t="s">
        <v>327</v>
      </c>
      <c r="C104" s="60"/>
      <c r="D104" s="60">
        <f>SUM(D105:D116)</f>
        <v>0</v>
      </c>
      <c r="E104" s="88">
        <f>SUM(E105:E117)</f>
        <v>3155145</v>
      </c>
      <c r="F104" s="60">
        <f>E104</f>
        <v>3155145</v>
      </c>
    </row>
    <row r="105" spans="1:6" ht="26.25" customHeight="1" x14ac:dyDescent="0.3">
      <c r="A105" s="57"/>
      <c r="B105" s="56" t="s">
        <v>659</v>
      </c>
      <c r="C105" s="60"/>
      <c r="D105" s="61"/>
      <c r="E105" s="89">
        <v>8742</v>
      </c>
      <c r="F105" s="61">
        <f t="shared" si="5"/>
        <v>8742</v>
      </c>
    </row>
    <row r="106" spans="1:6" ht="39" customHeight="1" x14ac:dyDescent="0.3">
      <c r="A106" s="57"/>
      <c r="B106" s="56" t="s">
        <v>670</v>
      </c>
      <c r="C106" s="60"/>
      <c r="D106" s="61"/>
      <c r="E106" s="89">
        <v>100000</v>
      </c>
      <c r="F106" s="61">
        <f t="shared" ref="F106:F117" si="6">E106</f>
        <v>100000</v>
      </c>
    </row>
    <row r="107" spans="1:6" ht="28.5" customHeight="1" x14ac:dyDescent="0.3">
      <c r="A107" s="57"/>
      <c r="B107" s="56" t="s">
        <v>660</v>
      </c>
      <c r="C107" s="60"/>
      <c r="D107" s="61"/>
      <c r="E107" s="89">
        <v>612779</v>
      </c>
      <c r="F107" s="61">
        <f t="shared" si="6"/>
        <v>612779</v>
      </c>
    </row>
    <row r="108" spans="1:6" ht="26.25" customHeight="1" x14ac:dyDescent="0.3">
      <c r="A108" s="57"/>
      <c r="B108" s="63" t="s">
        <v>662</v>
      </c>
      <c r="C108" s="60"/>
      <c r="D108" s="61"/>
      <c r="E108" s="89">
        <v>1382646</v>
      </c>
      <c r="F108" s="61">
        <f t="shared" si="6"/>
        <v>1382646</v>
      </c>
    </row>
    <row r="109" spans="1:6" ht="32.25" customHeight="1" x14ac:dyDescent="0.3">
      <c r="A109" s="57"/>
      <c r="B109" s="63" t="s">
        <v>598</v>
      </c>
      <c r="C109" s="60"/>
      <c r="D109" s="61"/>
      <c r="E109" s="89">
        <v>5555</v>
      </c>
      <c r="F109" s="61">
        <f t="shared" si="6"/>
        <v>5555</v>
      </c>
    </row>
    <row r="110" spans="1:6" ht="21.75" customHeight="1" x14ac:dyDescent="0.3">
      <c r="A110" s="57"/>
      <c r="B110" s="56" t="s">
        <v>597</v>
      </c>
      <c r="C110" s="60"/>
      <c r="D110" s="61"/>
      <c r="E110" s="89">
        <v>124000</v>
      </c>
      <c r="F110" s="61">
        <f t="shared" si="6"/>
        <v>124000</v>
      </c>
    </row>
    <row r="111" spans="1:6" ht="21.75" customHeight="1" x14ac:dyDescent="0.3">
      <c r="A111" s="57"/>
      <c r="B111" s="56" t="s">
        <v>74</v>
      </c>
      <c r="C111" s="60"/>
      <c r="D111" s="61"/>
      <c r="E111" s="89">
        <v>41900</v>
      </c>
      <c r="F111" s="61">
        <f t="shared" si="6"/>
        <v>41900</v>
      </c>
    </row>
    <row r="112" spans="1:6" ht="36.75" customHeight="1" x14ac:dyDescent="0.3">
      <c r="A112" s="57"/>
      <c r="B112" s="56" t="s">
        <v>687</v>
      </c>
      <c r="C112" s="60"/>
      <c r="D112" s="61"/>
      <c r="E112" s="89">
        <v>69176</v>
      </c>
      <c r="F112" s="61">
        <f t="shared" si="6"/>
        <v>69176</v>
      </c>
    </row>
    <row r="113" spans="1:6" ht="36.75" customHeight="1" x14ac:dyDescent="0.3">
      <c r="A113" s="57"/>
      <c r="B113" s="56" t="s">
        <v>682</v>
      </c>
      <c r="C113" s="60"/>
      <c r="D113" s="61"/>
      <c r="E113" s="89">
        <v>41520</v>
      </c>
      <c r="F113" s="61">
        <f t="shared" si="6"/>
        <v>41520</v>
      </c>
    </row>
    <row r="114" spans="1:6" ht="30" customHeight="1" x14ac:dyDescent="0.3">
      <c r="A114" s="57"/>
      <c r="B114" s="56" t="s">
        <v>681</v>
      </c>
      <c r="C114" s="60"/>
      <c r="D114" s="61"/>
      <c r="E114" s="89">
        <v>20000</v>
      </c>
      <c r="F114" s="61">
        <f t="shared" si="6"/>
        <v>20000</v>
      </c>
    </row>
    <row r="115" spans="1:6" ht="50.25" customHeight="1" x14ac:dyDescent="0.3">
      <c r="A115" s="57"/>
      <c r="B115" s="56" t="s">
        <v>684</v>
      </c>
      <c r="C115" s="60"/>
      <c r="D115" s="61"/>
      <c r="E115" s="89">
        <v>10275</v>
      </c>
      <c r="F115" s="61">
        <f t="shared" si="6"/>
        <v>10275</v>
      </c>
    </row>
    <row r="116" spans="1:6" ht="32.25" customHeight="1" x14ac:dyDescent="0.3">
      <c r="A116" s="57"/>
      <c r="B116" s="56" t="s">
        <v>596</v>
      </c>
      <c r="C116" s="60"/>
      <c r="D116" s="61"/>
      <c r="E116" s="89">
        <v>70000</v>
      </c>
      <c r="F116" s="61">
        <f t="shared" si="6"/>
        <v>70000</v>
      </c>
    </row>
    <row r="117" spans="1:6" ht="56.25" customHeight="1" x14ac:dyDescent="0.3">
      <c r="A117" s="57"/>
      <c r="B117" s="56" t="s">
        <v>671</v>
      </c>
      <c r="C117" s="60"/>
      <c r="D117" s="61"/>
      <c r="E117" s="89">
        <v>668552</v>
      </c>
      <c r="F117" s="61">
        <f t="shared" si="6"/>
        <v>668552</v>
      </c>
    </row>
    <row r="118" spans="1:6" s="53" customFormat="1" ht="33.75" customHeight="1" x14ac:dyDescent="0.3">
      <c r="A118" s="58" t="s">
        <v>328</v>
      </c>
      <c r="B118" s="59" t="s">
        <v>329</v>
      </c>
      <c r="C118" s="60"/>
      <c r="D118" s="60"/>
      <c r="E118" s="60">
        <v>7336482</v>
      </c>
      <c r="F118" s="60">
        <f>E118</f>
        <v>7336482</v>
      </c>
    </row>
    <row r="119" spans="1:6" ht="30.75" customHeight="1" x14ac:dyDescent="0.3">
      <c r="A119" s="58" t="s">
        <v>476</v>
      </c>
      <c r="B119" s="59" t="s">
        <v>475</v>
      </c>
      <c r="C119" s="60"/>
      <c r="D119" s="60">
        <f>D120</f>
        <v>180000</v>
      </c>
      <c r="E119" s="88"/>
      <c r="F119" s="60">
        <f>C119+D119+E119</f>
        <v>180000</v>
      </c>
    </row>
    <row r="120" spans="1:6" ht="21.75" customHeight="1" x14ac:dyDescent="0.3">
      <c r="A120" s="57" t="s">
        <v>477</v>
      </c>
      <c r="B120" s="56" t="s">
        <v>478</v>
      </c>
      <c r="C120" s="61"/>
      <c r="D120" s="61">
        <v>180000</v>
      </c>
      <c r="E120" s="89"/>
      <c r="F120" s="61">
        <f>C120+D120+E120</f>
        <v>180000</v>
      </c>
    </row>
    <row r="121" spans="1:6" ht="30.75" customHeight="1" x14ac:dyDescent="0.3">
      <c r="A121" s="79" t="s">
        <v>521</v>
      </c>
      <c r="B121" s="58" t="s">
        <v>331</v>
      </c>
      <c r="C121" s="60"/>
      <c r="D121" s="60">
        <f>D122+D395</f>
        <v>4346887</v>
      </c>
      <c r="E121" s="88">
        <f>E122+E395</f>
        <v>0</v>
      </c>
      <c r="F121" s="60">
        <f>D121</f>
        <v>4346887</v>
      </c>
    </row>
    <row r="122" spans="1:6" s="53" customFormat="1" ht="31.5" customHeight="1" x14ac:dyDescent="0.3">
      <c r="A122" s="58" t="s">
        <v>332</v>
      </c>
      <c r="B122" s="59" t="s">
        <v>333</v>
      </c>
      <c r="C122" s="60"/>
      <c r="D122" s="60">
        <f>D123+D140+D143+D218</f>
        <v>4341887</v>
      </c>
      <c r="E122" s="89"/>
      <c r="F122" s="60">
        <f t="shared" ref="F122:F184" si="7">D122</f>
        <v>4341887</v>
      </c>
    </row>
    <row r="123" spans="1:6" s="53" customFormat="1" ht="15" customHeight="1" x14ac:dyDescent="0.3">
      <c r="A123" s="58" t="s">
        <v>334</v>
      </c>
      <c r="B123" s="58" t="s">
        <v>335</v>
      </c>
      <c r="C123" s="60"/>
      <c r="D123" s="60">
        <f>D124+D128</f>
        <v>167721</v>
      </c>
      <c r="E123" s="88"/>
      <c r="F123" s="60">
        <f t="shared" si="7"/>
        <v>167721</v>
      </c>
    </row>
    <row r="124" spans="1:6" ht="15" customHeight="1" x14ac:dyDescent="0.3">
      <c r="A124" s="58" t="s">
        <v>336</v>
      </c>
      <c r="B124" s="58" t="s">
        <v>337</v>
      </c>
      <c r="C124" s="60"/>
      <c r="D124" s="60">
        <f>SUM(D125:D127)</f>
        <v>35320</v>
      </c>
      <c r="E124" s="88"/>
      <c r="F124" s="60">
        <f t="shared" si="7"/>
        <v>35320</v>
      </c>
    </row>
    <row r="125" spans="1:6" ht="15" customHeight="1" x14ac:dyDescent="0.3">
      <c r="A125" s="57"/>
      <c r="B125" s="57" t="s">
        <v>338</v>
      </c>
      <c r="C125" s="61"/>
      <c r="D125" s="61">
        <v>11020</v>
      </c>
      <c r="E125" s="89"/>
      <c r="F125" s="61">
        <f t="shared" si="7"/>
        <v>11020</v>
      </c>
    </row>
    <row r="126" spans="1:6" ht="15" customHeight="1" x14ac:dyDescent="0.3">
      <c r="A126" s="57"/>
      <c r="B126" s="57" t="s">
        <v>339</v>
      </c>
      <c r="C126" s="61"/>
      <c r="D126" s="61">
        <v>13500</v>
      </c>
      <c r="E126" s="89"/>
      <c r="F126" s="61">
        <f t="shared" si="7"/>
        <v>13500</v>
      </c>
    </row>
    <row r="127" spans="1:6" ht="15" customHeight="1" x14ac:dyDescent="0.3">
      <c r="A127" s="57"/>
      <c r="B127" s="57" t="s">
        <v>34</v>
      </c>
      <c r="C127" s="61"/>
      <c r="D127" s="61">
        <v>10800</v>
      </c>
      <c r="E127" s="89"/>
      <c r="F127" s="61">
        <f t="shared" si="7"/>
        <v>10800</v>
      </c>
    </row>
    <row r="128" spans="1:6" ht="15" customHeight="1" x14ac:dyDescent="0.3">
      <c r="A128" s="58" t="s">
        <v>340</v>
      </c>
      <c r="B128" s="58" t="s">
        <v>341</v>
      </c>
      <c r="C128" s="60"/>
      <c r="D128" s="60">
        <f>SUM(D129:D139)</f>
        <v>132401</v>
      </c>
      <c r="E128" s="88"/>
      <c r="F128" s="60">
        <f t="shared" si="7"/>
        <v>132401</v>
      </c>
    </row>
    <row r="129" spans="1:6" ht="15" customHeight="1" x14ac:dyDescent="0.3">
      <c r="A129" s="57"/>
      <c r="B129" s="57" t="s">
        <v>27</v>
      </c>
      <c r="C129" s="61"/>
      <c r="D129" s="61">
        <v>39240</v>
      </c>
      <c r="E129" s="89"/>
      <c r="F129" s="61">
        <f t="shared" si="7"/>
        <v>39240</v>
      </c>
    </row>
    <row r="130" spans="1:6" ht="15" customHeight="1" x14ac:dyDescent="0.3">
      <c r="A130" s="57"/>
      <c r="B130" s="57" t="s">
        <v>28</v>
      </c>
      <c r="C130" s="61"/>
      <c r="D130" s="61">
        <v>27600</v>
      </c>
      <c r="E130" s="89"/>
      <c r="F130" s="61">
        <f t="shared" si="7"/>
        <v>27600</v>
      </c>
    </row>
    <row r="131" spans="1:6" ht="15" customHeight="1" x14ac:dyDescent="0.3">
      <c r="A131" s="57"/>
      <c r="B131" s="57" t="s">
        <v>472</v>
      </c>
      <c r="C131" s="61"/>
      <c r="D131" s="61">
        <v>11100</v>
      </c>
      <c r="E131" s="89"/>
      <c r="F131" s="61">
        <f t="shared" si="7"/>
        <v>11100</v>
      </c>
    </row>
    <row r="132" spans="1:6" ht="15" customHeight="1" x14ac:dyDescent="0.3">
      <c r="A132" s="57"/>
      <c r="B132" s="57" t="s">
        <v>29</v>
      </c>
      <c r="C132" s="61"/>
      <c r="D132" s="61">
        <v>5660</v>
      </c>
      <c r="E132" s="89"/>
      <c r="F132" s="61">
        <f t="shared" si="7"/>
        <v>5660</v>
      </c>
    </row>
    <row r="133" spans="1:6" ht="15" customHeight="1" x14ac:dyDescent="0.3">
      <c r="A133" s="57"/>
      <c r="B133" s="57" t="s">
        <v>343</v>
      </c>
      <c r="C133" s="61"/>
      <c r="D133" s="61">
        <v>8991</v>
      </c>
      <c r="E133" s="89"/>
      <c r="F133" s="61">
        <f t="shared" si="7"/>
        <v>8991</v>
      </c>
    </row>
    <row r="134" spans="1:6" ht="15" customHeight="1" x14ac:dyDescent="0.3">
      <c r="A134" s="57"/>
      <c r="B134" s="57" t="s">
        <v>486</v>
      </c>
      <c r="C134" s="61"/>
      <c r="D134" s="61">
        <v>2590</v>
      </c>
      <c r="E134" s="89"/>
      <c r="F134" s="61">
        <f t="shared" si="7"/>
        <v>2590</v>
      </c>
    </row>
    <row r="135" spans="1:6" ht="15" customHeight="1" x14ac:dyDescent="0.3">
      <c r="A135" s="57"/>
      <c r="B135" s="57" t="s">
        <v>342</v>
      </c>
      <c r="C135" s="61"/>
      <c r="D135" s="61">
        <v>12650</v>
      </c>
      <c r="E135" s="89"/>
      <c r="F135" s="61">
        <f t="shared" si="7"/>
        <v>12650</v>
      </c>
    </row>
    <row r="136" spans="1:6" ht="15" customHeight="1" x14ac:dyDescent="0.3">
      <c r="A136" s="57"/>
      <c r="B136" s="57" t="s">
        <v>533</v>
      </c>
      <c r="C136" s="61"/>
      <c r="D136" s="61">
        <v>4300</v>
      </c>
      <c r="E136" s="89"/>
      <c r="F136" s="61">
        <f t="shared" si="7"/>
        <v>4300</v>
      </c>
    </row>
    <row r="137" spans="1:6" ht="15" customHeight="1" x14ac:dyDescent="0.3">
      <c r="A137" s="57"/>
      <c r="B137" s="57" t="s">
        <v>485</v>
      </c>
      <c r="C137" s="61"/>
      <c r="D137" s="61">
        <v>8880</v>
      </c>
      <c r="E137" s="89"/>
      <c r="F137" s="61">
        <f t="shared" si="7"/>
        <v>8880</v>
      </c>
    </row>
    <row r="138" spans="1:6" ht="15" customHeight="1" x14ac:dyDescent="0.3">
      <c r="A138" s="57"/>
      <c r="B138" s="57" t="s">
        <v>490</v>
      </c>
      <c r="C138" s="61"/>
      <c r="D138" s="61">
        <v>1400</v>
      </c>
      <c r="E138" s="89"/>
      <c r="F138" s="61">
        <f t="shared" si="7"/>
        <v>1400</v>
      </c>
    </row>
    <row r="139" spans="1:6" ht="15" customHeight="1" x14ac:dyDescent="0.3">
      <c r="A139" s="57"/>
      <c r="B139" s="57" t="s">
        <v>491</v>
      </c>
      <c r="C139" s="61"/>
      <c r="D139" s="61">
        <v>9990</v>
      </c>
      <c r="E139" s="89"/>
      <c r="F139" s="61">
        <f t="shared" si="7"/>
        <v>9990</v>
      </c>
    </row>
    <row r="140" spans="1:6" s="53" customFormat="1" ht="30" customHeight="1" x14ac:dyDescent="0.3">
      <c r="A140" s="58" t="s">
        <v>344</v>
      </c>
      <c r="B140" s="59" t="s">
        <v>345</v>
      </c>
      <c r="C140" s="60"/>
      <c r="D140" s="60">
        <f>D141</f>
        <v>1850</v>
      </c>
      <c r="E140" s="88"/>
      <c r="F140" s="60">
        <f t="shared" si="7"/>
        <v>1850</v>
      </c>
    </row>
    <row r="141" spans="1:6" ht="31.5" customHeight="1" x14ac:dyDescent="0.3">
      <c r="A141" s="58" t="s">
        <v>346</v>
      </c>
      <c r="B141" s="59" t="s">
        <v>347</v>
      </c>
      <c r="C141" s="60"/>
      <c r="D141" s="60">
        <f>SUM(D142:D142)</f>
        <v>1850</v>
      </c>
      <c r="E141" s="88"/>
      <c r="F141" s="60">
        <f t="shared" si="7"/>
        <v>1850</v>
      </c>
    </row>
    <row r="142" spans="1:6" s="53" customFormat="1" ht="20.25" customHeight="1" x14ac:dyDescent="0.3">
      <c r="A142" s="57"/>
      <c r="B142" s="56" t="s">
        <v>5</v>
      </c>
      <c r="C142" s="61"/>
      <c r="D142" s="61">
        <v>1850</v>
      </c>
      <c r="E142" s="89"/>
      <c r="F142" s="61">
        <f t="shared" si="7"/>
        <v>1850</v>
      </c>
    </row>
    <row r="143" spans="1:6" s="53" customFormat="1" ht="25.5" customHeight="1" x14ac:dyDescent="0.3">
      <c r="A143" s="58" t="s">
        <v>348</v>
      </c>
      <c r="B143" s="58" t="s">
        <v>349</v>
      </c>
      <c r="C143" s="60"/>
      <c r="D143" s="60">
        <f>D144+D189+D194+D195</f>
        <v>777682</v>
      </c>
      <c r="E143" s="88"/>
      <c r="F143" s="60">
        <f t="shared" si="7"/>
        <v>777682</v>
      </c>
    </row>
    <row r="144" spans="1:6" ht="28.5" customHeight="1" x14ac:dyDescent="0.3">
      <c r="A144" s="58" t="s">
        <v>350</v>
      </c>
      <c r="B144" s="59" t="s">
        <v>474</v>
      </c>
      <c r="C144" s="60"/>
      <c r="D144" s="60">
        <f>SUM(D145:D188)</f>
        <v>184536</v>
      </c>
      <c r="E144" s="88"/>
      <c r="F144" s="60">
        <f t="shared" si="7"/>
        <v>184536</v>
      </c>
    </row>
    <row r="145" spans="1:6" ht="22.5" customHeight="1" x14ac:dyDescent="0.3">
      <c r="A145" s="57"/>
      <c r="B145" s="57" t="s">
        <v>351</v>
      </c>
      <c r="C145" s="61"/>
      <c r="D145" s="61">
        <v>97964</v>
      </c>
      <c r="E145" s="89"/>
      <c r="F145" s="61">
        <f t="shared" si="7"/>
        <v>97964</v>
      </c>
    </row>
    <row r="146" spans="1:6" ht="21.75" customHeight="1" x14ac:dyDescent="0.3">
      <c r="A146" s="57"/>
      <c r="B146" s="57" t="s">
        <v>524</v>
      </c>
      <c r="C146" s="61"/>
      <c r="D146" s="61">
        <v>603</v>
      </c>
      <c r="E146" s="89"/>
      <c r="F146" s="61">
        <f t="shared" si="7"/>
        <v>603</v>
      </c>
    </row>
    <row r="147" spans="1:6" ht="20.25" customHeight="1" x14ac:dyDescent="0.3">
      <c r="A147" s="57"/>
      <c r="B147" s="57" t="s">
        <v>550</v>
      </c>
      <c r="C147" s="61"/>
      <c r="D147" s="61">
        <v>340</v>
      </c>
      <c r="E147" s="89"/>
      <c r="F147" s="61">
        <f t="shared" si="7"/>
        <v>340</v>
      </c>
    </row>
    <row r="148" spans="1:6" ht="21.75" customHeight="1" x14ac:dyDescent="0.3">
      <c r="A148" s="57"/>
      <c r="B148" s="63" t="s">
        <v>551</v>
      </c>
      <c r="C148" s="61"/>
      <c r="D148" s="61">
        <v>11657</v>
      </c>
      <c r="E148" s="89"/>
      <c r="F148" s="61">
        <f t="shared" si="7"/>
        <v>11657</v>
      </c>
    </row>
    <row r="149" spans="1:6" ht="20.25" customHeight="1" x14ac:dyDescent="0.3">
      <c r="A149" s="57"/>
      <c r="B149" s="57" t="s">
        <v>10</v>
      </c>
      <c r="C149" s="61"/>
      <c r="D149" s="61">
        <v>420</v>
      </c>
      <c r="E149" s="89"/>
      <c r="F149" s="61">
        <f t="shared" si="7"/>
        <v>420</v>
      </c>
    </row>
    <row r="150" spans="1:6" ht="20.25" customHeight="1" x14ac:dyDescent="0.3">
      <c r="A150" s="57"/>
      <c r="B150" s="57" t="s">
        <v>11</v>
      </c>
      <c r="C150" s="61"/>
      <c r="D150" s="61">
        <f>477+312</f>
        <v>789</v>
      </c>
      <c r="E150" s="89"/>
      <c r="F150" s="61">
        <f t="shared" si="7"/>
        <v>789</v>
      </c>
    </row>
    <row r="151" spans="1:6" ht="20.25" customHeight="1" x14ac:dyDescent="0.3">
      <c r="A151" s="57"/>
      <c r="B151" s="56" t="s">
        <v>13</v>
      </c>
      <c r="C151" s="61"/>
      <c r="D151" s="61">
        <v>800</v>
      </c>
      <c r="E151" s="89"/>
      <c r="F151" s="61">
        <f t="shared" si="7"/>
        <v>800</v>
      </c>
    </row>
    <row r="152" spans="1:6" ht="21.75" customHeight="1" x14ac:dyDescent="0.3">
      <c r="A152" s="57"/>
      <c r="B152" s="56" t="s">
        <v>211</v>
      </c>
      <c r="C152" s="61"/>
      <c r="D152" s="61">
        <v>4000</v>
      </c>
      <c r="E152" s="89"/>
      <c r="F152" s="61">
        <f t="shared" si="7"/>
        <v>4000</v>
      </c>
    </row>
    <row r="153" spans="1:6" ht="21" customHeight="1" x14ac:dyDescent="0.3">
      <c r="A153" s="57"/>
      <c r="B153" s="56" t="s">
        <v>76</v>
      </c>
      <c r="C153" s="61"/>
      <c r="D153" s="61">
        <v>1266</v>
      </c>
      <c r="E153" s="89"/>
      <c r="F153" s="61">
        <f t="shared" si="7"/>
        <v>1266</v>
      </c>
    </row>
    <row r="154" spans="1:6" ht="21" customHeight="1" x14ac:dyDescent="0.3">
      <c r="A154" s="57"/>
      <c r="B154" s="56" t="s">
        <v>67</v>
      </c>
      <c r="C154" s="61"/>
      <c r="D154" s="61">
        <v>700</v>
      </c>
      <c r="E154" s="89"/>
      <c r="F154" s="61">
        <f t="shared" si="7"/>
        <v>700</v>
      </c>
    </row>
    <row r="155" spans="1:6" ht="20.25" customHeight="1" x14ac:dyDescent="0.3">
      <c r="A155" s="57"/>
      <c r="B155" s="56" t="s">
        <v>496</v>
      </c>
      <c r="C155" s="61"/>
      <c r="D155" s="61">
        <v>2143</v>
      </c>
      <c r="E155" s="89"/>
      <c r="F155" s="61">
        <f t="shared" si="7"/>
        <v>2143</v>
      </c>
    </row>
    <row r="156" spans="1:6" ht="18.75" customHeight="1" x14ac:dyDescent="0.3">
      <c r="A156" s="57"/>
      <c r="B156" s="56" t="s">
        <v>498</v>
      </c>
      <c r="C156" s="61"/>
      <c r="D156" s="61">
        <v>120</v>
      </c>
      <c r="E156" s="89"/>
      <c r="F156" s="61">
        <f t="shared" si="7"/>
        <v>120</v>
      </c>
    </row>
    <row r="157" spans="1:6" ht="21" customHeight="1" x14ac:dyDescent="0.3">
      <c r="A157" s="57"/>
      <c r="B157" s="56" t="s">
        <v>77</v>
      </c>
      <c r="C157" s="61"/>
      <c r="D157" s="61">
        <v>2000</v>
      </c>
      <c r="E157" s="89"/>
      <c r="F157" s="61">
        <f t="shared" si="7"/>
        <v>2000</v>
      </c>
    </row>
    <row r="158" spans="1:6" ht="30" customHeight="1" x14ac:dyDescent="0.3">
      <c r="A158" s="57"/>
      <c r="B158" s="56" t="s">
        <v>352</v>
      </c>
      <c r="C158" s="61"/>
      <c r="D158" s="61">
        <v>4550</v>
      </c>
      <c r="E158" s="89"/>
      <c r="F158" s="61">
        <f t="shared" si="7"/>
        <v>4550</v>
      </c>
    </row>
    <row r="159" spans="1:6" ht="21" customHeight="1" x14ac:dyDescent="0.3">
      <c r="A159" s="57"/>
      <c r="B159" s="56" t="s">
        <v>60</v>
      </c>
      <c r="C159" s="61"/>
      <c r="D159" s="61">
        <v>3000</v>
      </c>
      <c r="E159" s="89"/>
      <c r="F159" s="61">
        <f t="shared" si="7"/>
        <v>3000</v>
      </c>
    </row>
    <row r="160" spans="1:6" ht="21" customHeight="1" x14ac:dyDescent="0.3">
      <c r="A160" s="57"/>
      <c r="B160" s="56" t="s">
        <v>58</v>
      </c>
      <c r="C160" s="61"/>
      <c r="D160" s="61">
        <v>8726</v>
      </c>
      <c r="E160" s="89"/>
      <c r="F160" s="61">
        <f t="shared" si="7"/>
        <v>8726</v>
      </c>
    </row>
    <row r="161" spans="1:6" ht="21" customHeight="1" x14ac:dyDescent="0.3">
      <c r="A161" s="57"/>
      <c r="B161" s="56" t="s">
        <v>81</v>
      </c>
      <c r="C161" s="61"/>
      <c r="D161" s="61">
        <v>140</v>
      </c>
      <c r="E161" s="89"/>
      <c r="F161" s="61">
        <f t="shared" si="7"/>
        <v>140</v>
      </c>
    </row>
    <row r="162" spans="1:6" ht="21.75" customHeight="1" x14ac:dyDescent="0.3">
      <c r="A162" s="57"/>
      <c r="B162" s="56" t="s">
        <v>117</v>
      </c>
      <c r="C162" s="61"/>
      <c r="D162" s="61">
        <v>450</v>
      </c>
      <c r="E162" s="89"/>
      <c r="F162" s="61">
        <f t="shared" si="7"/>
        <v>450</v>
      </c>
    </row>
    <row r="163" spans="1:6" ht="19.5" customHeight="1" x14ac:dyDescent="0.3">
      <c r="A163" s="57"/>
      <c r="B163" s="56" t="s">
        <v>188</v>
      </c>
      <c r="C163" s="61"/>
      <c r="D163" s="61">
        <v>50</v>
      </c>
      <c r="E163" s="89"/>
      <c r="F163" s="61">
        <f t="shared" si="7"/>
        <v>50</v>
      </c>
    </row>
    <row r="164" spans="1:6" ht="21" customHeight="1" x14ac:dyDescent="0.3">
      <c r="A164" s="57"/>
      <c r="B164" s="56" t="s">
        <v>23</v>
      </c>
      <c r="C164" s="61"/>
      <c r="D164" s="61">
        <v>40</v>
      </c>
      <c r="E164" s="89"/>
      <c r="F164" s="61">
        <f t="shared" si="7"/>
        <v>40</v>
      </c>
    </row>
    <row r="165" spans="1:6" ht="20.25" customHeight="1" x14ac:dyDescent="0.3">
      <c r="A165" s="57"/>
      <c r="B165" s="56" t="s">
        <v>24</v>
      </c>
      <c r="C165" s="61"/>
      <c r="D165" s="61">
        <v>700</v>
      </c>
      <c r="E165" s="89"/>
      <c r="F165" s="61">
        <f t="shared" si="7"/>
        <v>700</v>
      </c>
    </row>
    <row r="166" spans="1:6" ht="17.25" customHeight="1" x14ac:dyDescent="0.3">
      <c r="A166" s="57"/>
      <c r="B166" s="56" t="s">
        <v>320</v>
      </c>
      <c r="C166" s="61"/>
      <c r="D166" s="61">
        <v>100</v>
      </c>
      <c r="E166" s="89"/>
      <c r="F166" s="61">
        <f t="shared" si="7"/>
        <v>100</v>
      </c>
    </row>
    <row r="167" spans="1:6" ht="19.5" customHeight="1" x14ac:dyDescent="0.3">
      <c r="A167" s="57"/>
      <c r="B167" s="57" t="s">
        <v>84</v>
      </c>
      <c r="C167" s="61"/>
      <c r="D167" s="61">
        <v>100</v>
      </c>
      <c r="E167" s="89"/>
      <c r="F167" s="61">
        <f t="shared" si="7"/>
        <v>100</v>
      </c>
    </row>
    <row r="168" spans="1:6" ht="21" customHeight="1" x14ac:dyDescent="0.3">
      <c r="A168" s="57"/>
      <c r="B168" s="56" t="s">
        <v>122</v>
      </c>
      <c r="C168" s="61"/>
      <c r="D168" s="61">
        <v>200</v>
      </c>
      <c r="E168" s="89"/>
      <c r="F168" s="61">
        <f t="shared" si="7"/>
        <v>200</v>
      </c>
    </row>
    <row r="169" spans="1:6" ht="21" customHeight="1" x14ac:dyDescent="0.3">
      <c r="A169" s="57"/>
      <c r="B169" s="56" t="s">
        <v>114</v>
      </c>
      <c r="C169" s="61"/>
      <c r="D169" s="61">
        <v>50</v>
      </c>
      <c r="E169" s="89"/>
      <c r="F169" s="61">
        <f t="shared" si="7"/>
        <v>50</v>
      </c>
    </row>
    <row r="170" spans="1:6" ht="22.5" customHeight="1" x14ac:dyDescent="0.3">
      <c r="A170" s="57"/>
      <c r="B170" s="56" t="s">
        <v>131</v>
      </c>
      <c r="C170" s="61"/>
      <c r="D170" s="61">
        <v>150</v>
      </c>
      <c r="E170" s="89"/>
      <c r="F170" s="61">
        <f t="shared" si="7"/>
        <v>150</v>
      </c>
    </row>
    <row r="171" spans="1:6" ht="21.75" customHeight="1" x14ac:dyDescent="0.3">
      <c r="A171" s="57"/>
      <c r="B171" s="56" t="s">
        <v>321</v>
      </c>
      <c r="C171" s="61"/>
      <c r="D171" s="61">
        <v>120</v>
      </c>
      <c r="E171" s="89"/>
      <c r="F171" s="61">
        <f t="shared" si="7"/>
        <v>120</v>
      </c>
    </row>
    <row r="172" spans="1:6" ht="15" customHeight="1" x14ac:dyDescent="0.3">
      <c r="A172" s="57"/>
      <c r="B172" s="56" t="s">
        <v>353</v>
      </c>
      <c r="C172" s="61"/>
      <c r="D172" s="61">
        <v>150</v>
      </c>
      <c r="E172" s="89"/>
      <c r="F172" s="61">
        <f t="shared" si="7"/>
        <v>150</v>
      </c>
    </row>
    <row r="173" spans="1:6" ht="15" customHeight="1" x14ac:dyDescent="0.3">
      <c r="A173" s="57"/>
      <c r="B173" s="56" t="s">
        <v>83</v>
      </c>
      <c r="C173" s="61"/>
      <c r="D173" s="61">
        <v>850</v>
      </c>
      <c r="E173" s="89"/>
      <c r="F173" s="61">
        <f t="shared" si="7"/>
        <v>850</v>
      </c>
    </row>
    <row r="174" spans="1:6" ht="15" customHeight="1" x14ac:dyDescent="0.3">
      <c r="A174" s="57"/>
      <c r="B174" s="56" t="s">
        <v>82</v>
      </c>
      <c r="C174" s="61"/>
      <c r="D174" s="61">
        <v>476</v>
      </c>
      <c r="E174" s="89"/>
      <c r="F174" s="61">
        <f t="shared" si="7"/>
        <v>476</v>
      </c>
    </row>
    <row r="175" spans="1:6" ht="18.75" customHeight="1" x14ac:dyDescent="0.3">
      <c r="A175" s="57"/>
      <c r="B175" s="56" t="s">
        <v>85</v>
      </c>
      <c r="C175" s="61"/>
      <c r="D175" s="61">
        <v>500</v>
      </c>
      <c r="E175" s="89"/>
      <c r="F175" s="61">
        <f t="shared" si="7"/>
        <v>500</v>
      </c>
    </row>
    <row r="176" spans="1:6" ht="18.75" customHeight="1" x14ac:dyDescent="0.3">
      <c r="A176" s="57"/>
      <c r="B176" s="56" t="s">
        <v>190</v>
      </c>
      <c r="C176" s="61"/>
      <c r="D176" s="61">
        <v>110</v>
      </c>
      <c r="E176" s="89"/>
      <c r="F176" s="61">
        <f t="shared" si="7"/>
        <v>110</v>
      </c>
    </row>
    <row r="177" spans="1:6" ht="18.75" customHeight="1" x14ac:dyDescent="0.3">
      <c r="A177" s="57"/>
      <c r="B177" s="56" t="s">
        <v>374</v>
      </c>
      <c r="C177" s="61"/>
      <c r="D177" s="61">
        <v>50</v>
      </c>
      <c r="E177" s="89"/>
      <c r="F177" s="61">
        <f t="shared" si="7"/>
        <v>50</v>
      </c>
    </row>
    <row r="178" spans="1:6" ht="24" customHeight="1" x14ac:dyDescent="0.3">
      <c r="A178" s="57"/>
      <c r="B178" s="56" t="s">
        <v>497</v>
      </c>
      <c r="C178" s="61"/>
      <c r="D178" s="61">
        <v>6000</v>
      </c>
      <c r="E178" s="89"/>
      <c r="F178" s="61">
        <f t="shared" si="7"/>
        <v>6000</v>
      </c>
    </row>
    <row r="179" spans="1:6" ht="20.25" customHeight="1" x14ac:dyDescent="0.3">
      <c r="A179" s="57"/>
      <c r="B179" s="56" t="s">
        <v>531</v>
      </c>
      <c r="C179" s="61"/>
      <c r="D179" s="61">
        <v>3200</v>
      </c>
      <c r="E179" s="89"/>
      <c r="F179" s="61">
        <f t="shared" si="7"/>
        <v>3200</v>
      </c>
    </row>
    <row r="180" spans="1:6" ht="15" customHeight="1" x14ac:dyDescent="0.3">
      <c r="A180" s="57"/>
      <c r="B180" s="56" t="s">
        <v>31</v>
      </c>
      <c r="C180" s="61"/>
      <c r="D180" s="61">
        <v>16039</v>
      </c>
      <c r="E180" s="89"/>
      <c r="F180" s="61">
        <f t="shared" si="7"/>
        <v>16039</v>
      </c>
    </row>
    <row r="181" spans="1:6" ht="15" customHeight="1" x14ac:dyDescent="0.3">
      <c r="A181" s="57"/>
      <c r="B181" s="56" t="s">
        <v>488</v>
      </c>
      <c r="C181" s="61"/>
      <c r="D181" s="61">
        <v>2233</v>
      </c>
      <c r="E181" s="89"/>
      <c r="F181" s="61">
        <f t="shared" si="7"/>
        <v>2233</v>
      </c>
    </row>
    <row r="182" spans="1:6" ht="15" customHeight="1" x14ac:dyDescent="0.3">
      <c r="A182" s="57"/>
      <c r="B182" s="56" t="s">
        <v>500</v>
      </c>
      <c r="C182" s="61"/>
      <c r="D182" s="61">
        <v>3800</v>
      </c>
      <c r="E182" s="89"/>
      <c r="F182" s="61">
        <f t="shared" si="7"/>
        <v>3800</v>
      </c>
    </row>
    <row r="183" spans="1:6" ht="15" customHeight="1" x14ac:dyDescent="0.3">
      <c r="A183" s="57"/>
      <c r="B183" s="56" t="s">
        <v>93</v>
      </c>
      <c r="C183" s="61"/>
      <c r="D183" s="61">
        <v>207</v>
      </c>
      <c r="E183" s="89"/>
      <c r="F183" s="61">
        <f t="shared" si="7"/>
        <v>207</v>
      </c>
    </row>
    <row r="184" spans="1:6" ht="15" customHeight="1" x14ac:dyDescent="0.3">
      <c r="A184" s="57"/>
      <c r="B184" s="56" t="s">
        <v>94</v>
      </c>
      <c r="C184" s="61"/>
      <c r="D184" s="61">
        <v>1000</v>
      </c>
      <c r="E184" s="89"/>
      <c r="F184" s="61">
        <f t="shared" si="7"/>
        <v>1000</v>
      </c>
    </row>
    <row r="185" spans="1:6" ht="15" customHeight="1" x14ac:dyDescent="0.3">
      <c r="A185" s="57"/>
      <c r="B185" s="56" t="s">
        <v>203</v>
      </c>
      <c r="C185" s="61"/>
      <c r="D185" s="61">
        <v>552</v>
      </c>
      <c r="E185" s="89"/>
      <c r="F185" s="61">
        <f t="shared" ref="F185:F248" si="8">D185</f>
        <v>552</v>
      </c>
    </row>
    <row r="186" spans="1:6" ht="17.25" customHeight="1" x14ac:dyDescent="0.3">
      <c r="A186" s="57"/>
      <c r="B186" s="56" t="s">
        <v>499</v>
      </c>
      <c r="C186" s="61"/>
      <c r="D186" s="61">
        <v>1746</v>
      </c>
      <c r="E186" s="89"/>
      <c r="F186" s="61">
        <f t="shared" si="8"/>
        <v>1746</v>
      </c>
    </row>
    <row r="187" spans="1:6" ht="15" customHeight="1" x14ac:dyDescent="0.3">
      <c r="A187" s="57"/>
      <c r="B187" s="56" t="s">
        <v>102</v>
      </c>
      <c r="C187" s="61"/>
      <c r="D187" s="61">
        <v>877</v>
      </c>
      <c r="E187" s="89"/>
      <c r="F187" s="61">
        <f t="shared" si="8"/>
        <v>877</v>
      </c>
    </row>
    <row r="188" spans="1:6" ht="15" customHeight="1" x14ac:dyDescent="0.3">
      <c r="A188" s="57"/>
      <c r="B188" s="56" t="s">
        <v>495</v>
      </c>
      <c r="C188" s="61"/>
      <c r="D188" s="61">
        <v>5568</v>
      </c>
      <c r="E188" s="89"/>
      <c r="F188" s="61">
        <f t="shared" si="8"/>
        <v>5568</v>
      </c>
    </row>
    <row r="189" spans="1:6" ht="15" customHeight="1" x14ac:dyDescent="0.3">
      <c r="A189" s="58" t="s">
        <v>354</v>
      </c>
      <c r="B189" s="58" t="s">
        <v>355</v>
      </c>
      <c r="C189" s="60"/>
      <c r="D189" s="60">
        <f>SUM(D190:D193)</f>
        <v>5169</v>
      </c>
      <c r="E189" s="88"/>
      <c r="F189" s="60">
        <f t="shared" si="8"/>
        <v>5169</v>
      </c>
    </row>
    <row r="190" spans="1:6" s="53" customFormat="1" ht="15" customHeight="1" x14ac:dyDescent="0.3">
      <c r="A190" s="57"/>
      <c r="B190" s="57" t="s">
        <v>339</v>
      </c>
      <c r="C190" s="61"/>
      <c r="D190" s="61">
        <v>804</v>
      </c>
      <c r="E190" s="89"/>
      <c r="F190" s="61">
        <f t="shared" si="8"/>
        <v>804</v>
      </c>
    </row>
    <row r="191" spans="1:6" s="53" customFormat="1" ht="15" customHeight="1" x14ac:dyDescent="0.3">
      <c r="A191" s="57"/>
      <c r="B191" s="57" t="s">
        <v>551</v>
      </c>
      <c r="C191" s="61"/>
      <c r="D191" s="61">
        <v>2700</v>
      </c>
      <c r="E191" s="89"/>
      <c r="F191" s="61">
        <f t="shared" si="8"/>
        <v>2700</v>
      </c>
    </row>
    <row r="192" spans="1:6" s="54" customFormat="1" ht="21" customHeight="1" x14ac:dyDescent="0.3">
      <c r="A192" s="57"/>
      <c r="B192" s="56" t="s">
        <v>525</v>
      </c>
      <c r="C192" s="61"/>
      <c r="D192" s="61">
        <v>1400</v>
      </c>
      <c r="E192" s="89"/>
      <c r="F192" s="61">
        <f t="shared" si="8"/>
        <v>1400</v>
      </c>
    </row>
    <row r="193" spans="1:6" ht="20.25" customHeight="1" x14ac:dyDescent="0.3">
      <c r="A193" s="57"/>
      <c r="B193" s="56" t="s">
        <v>67</v>
      </c>
      <c r="C193" s="61"/>
      <c r="D193" s="61">
        <v>265</v>
      </c>
      <c r="E193" s="89"/>
      <c r="F193" s="61">
        <f t="shared" si="8"/>
        <v>265</v>
      </c>
    </row>
    <row r="194" spans="1:6" ht="20.25" customHeight="1" x14ac:dyDescent="0.3">
      <c r="A194" s="58" t="s">
        <v>356</v>
      </c>
      <c r="B194" s="58" t="s">
        <v>357</v>
      </c>
      <c r="C194" s="60"/>
      <c r="D194" s="60">
        <v>450801</v>
      </c>
      <c r="E194" s="88"/>
      <c r="F194" s="60">
        <f>D194</f>
        <v>450801</v>
      </c>
    </row>
    <row r="195" spans="1:6" ht="19.5" customHeight="1" x14ac:dyDescent="0.3">
      <c r="A195" s="58" t="s">
        <v>358</v>
      </c>
      <c r="B195" s="58" t="s">
        <v>359</v>
      </c>
      <c r="C195" s="60"/>
      <c r="D195" s="60">
        <f>SUM(D196:D217)</f>
        <v>137176</v>
      </c>
      <c r="E195" s="88"/>
      <c r="F195" s="60">
        <f t="shared" si="8"/>
        <v>137176</v>
      </c>
    </row>
    <row r="196" spans="1:6" ht="20.25" customHeight="1" x14ac:dyDescent="0.3">
      <c r="A196" s="57"/>
      <c r="B196" s="57" t="s">
        <v>495</v>
      </c>
      <c r="C196" s="61"/>
      <c r="D196" s="61">
        <v>11780</v>
      </c>
      <c r="E196" s="89"/>
      <c r="F196" s="61">
        <f t="shared" si="8"/>
        <v>11780</v>
      </c>
    </row>
    <row r="197" spans="1:6" ht="17.25" customHeight="1" x14ac:dyDescent="0.3">
      <c r="A197" s="57"/>
      <c r="B197" s="57" t="s">
        <v>637</v>
      </c>
      <c r="C197" s="61"/>
      <c r="D197" s="61">
        <v>2576</v>
      </c>
      <c r="E197" s="89"/>
      <c r="F197" s="61">
        <f t="shared" si="8"/>
        <v>2576</v>
      </c>
    </row>
    <row r="198" spans="1:6" ht="15" customHeight="1" x14ac:dyDescent="0.3">
      <c r="A198" s="57"/>
      <c r="B198" s="57" t="s">
        <v>307</v>
      </c>
      <c r="C198" s="61"/>
      <c r="D198" s="61">
        <v>5534</v>
      </c>
      <c r="E198" s="89"/>
      <c r="F198" s="61">
        <f t="shared" si="8"/>
        <v>5534</v>
      </c>
    </row>
    <row r="199" spans="1:6" ht="15" customHeight="1" x14ac:dyDescent="0.3">
      <c r="A199" s="57"/>
      <c r="B199" s="57" t="s">
        <v>504</v>
      </c>
      <c r="C199" s="61"/>
      <c r="D199" s="61">
        <v>460</v>
      </c>
      <c r="E199" s="89"/>
      <c r="F199" s="61">
        <f t="shared" si="8"/>
        <v>460</v>
      </c>
    </row>
    <row r="200" spans="1:6" ht="32.25" customHeight="1" x14ac:dyDescent="0.3">
      <c r="A200" s="57"/>
      <c r="B200" s="56" t="s">
        <v>724</v>
      </c>
      <c r="C200" s="61"/>
      <c r="D200" s="61">
        <v>283</v>
      </c>
      <c r="E200" s="89"/>
      <c r="F200" s="61">
        <f t="shared" si="8"/>
        <v>283</v>
      </c>
    </row>
    <row r="201" spans="1:6" ht="24" customHeight="1" x14ac:dyDescent="0.3">
      <c r="A201" s="57"/>
      <c r="B201" s="56" t="s">
        <v>642</v>
      </c>
      <c r="C201" s="61"/>
      <c r="D201" s="61">
        <v>79658</v>
      </c>
      <c r="E201" s="89"/>
      <c r="F201" s="61">
        <f t="shared" si="8"/>
        <v>79658</v>
      </c>
    </row>
    <row r="202" spans="1:6" ht="24" customHeight="1" x14ac:dyDescent="0.3">
      <c r="A202" s="57"/>
      <c r="B202" s="56" t="s">
        <v>650</v>
      </c>
      <c r="C202" s="61"/>
      <c r="D202" s="61">
        <v>200</v>
      </c>
      <c r="E202" s="89"/>
      <c r="F202" s="61">
        <f t="shared" si="8"/>
        <v>200</v>
      </c>
    </row>
    <row r="203" spans="1:6" ht="24" customHeight="1" x14ac:dyDescent="0.3">
      <c r="A203" s="57"/>
      <c r="B203" s="56" t="s">
        <v>643</v>
      </c>
      <c r="C203" s="61"/>
      <c r="D203" s="61">
        <v>340</v>
      </c>
      <c r="E203" s="89"/>
      <c r="F203" s="61">
        <f t="shared" si="8"/>
        <v>340</v>
      </c>
    </row>
    <row r="204" spans="1:6" ht="31.5" customHeight="1" x14ac:dyDescent="0.3">
      <c r="A204" s="57"/>
      <c r="B204" s="56" t="s">
        <v>644</v>
      </c>
      <c r="C204" s="61"/>
      <c r="D204" s="61">
        <v>1810</v>
      </c>
      <c r="E204" s="89"/>
      <c r="F204" s="61">
        <f t="shared" si="8"/>
        <v>1810</v>
      </c>
    </row>
    <row r="205" spans="1:6" ht="34.5" customHeight="1" x14ac:dyDescent="0.3">
      <c r="A205" s="57"/>
      <c r="B205" s="56" t="s">
        <v>645</v>
      </c>
      <c r="C205" s="61"/>
      <c r="D205" s="61">
        <v>3043</v>
      </c>
      <c r="E205" s="89"/>
      <c r="F205" s="61">
        <f t="shared" si="8"/>
        <v>3043</v>
      </c>
    </row>
    <row r="206" spans="1:6" ht="34.5" customHeight="1" x14ac:dyDescent="0.3">
      <c r="A206" s="57"/>
      <c r="B206" s="56" t="s">
        <v>646</v>
      </c>
      <c r="C206" s="61"/>
      <c r="D206" s="61">
        <v>3750</v>
      </c>
      <c r="E206" s="89"/>
      <c r="F206" s="61">
        <f t="shared" si="8"/>
        <v>3750</v>
      </c>
    </row>
    <row r="207" spans="1:6" ht="34.5" customHeight="1" x14ac:dyDescent="0.3">
      <c r="A207" s="57"/>
      <c r="B207" s="56" t="s">
        <v>657</v>
      </c>
      <c r="C207" s="61"/>
      <c r="D207" s="61">
        <v>9400</v>
      </c>
      <c r="E207" s="89"/>
      <c r="F207" s="61">
        <f t="shared" si="8"/>
        <v>9400</v>
      </c>
    </row>
    <row r="208" spans="1:6" ht="34.5" customHeight="1" x14ac:dyDescent="0.3">
      <c r="A208" s="57"/>
      <c r="B208" s="56" t="s">
        <v>652</v>
      </c>
      <c r="C208" s="61"/>
      <c r="D208" s="61">
        <v>2415</v>
      </c>
      <c r="E208" s="89"/>
      <c r="F208" s="61">
        <f t="shared" si="8"/>
        <v>2415</v>
      </c>
    </row>
    <row r="209" spans="1:6" ht="34.5" customHeight="1" x14ac:dyDescent="0.3">
      <c r="A209" s="57"/>
      <c r="B209" s="56" t="s">
        <v>647</v>
      </c>
      <c r="C209" s="61"/>
      <c r="D209" s="61">
        <v>60</v>
      </c>
      <c r="E209" s="89"/>
      <c r="F209" s="61">
        <f t="shared" si="8"/>
        <v>60</v>
      </c>
    </row>
    <row r="210" spans="1:6" ht="34.5" customHeight="1" x14ac:dyDescent="0.3">
      <c r="A210" s="57"/>
      <c r="B210" s="56" t="s">
        <v>656</v>
      </c>
      <c r="C210" s="61"/>
      <c r="D210" s="61">
        <v>191</v>
      </c>
      <c r="E210" s="89"/>
      <c r="F210" s="61">
        <f t="shared" si="8"/>
        <v>191</v>
      </c>
    </row>
    <row r="211" spans="1:6" ht="34.5" customHeight="1" x14ac:dyDescent="0.3">
      <c r="A211" s="57"/>
      <c r="B211" s="56" t="s">
        <v>651</v>
      </c>
      <c r="C211" s="61"/>
      <c r="D211" s="61">
        <v>1775</v>
      </c>
      <c r="E211" s="89"/>
      <c r="F211" s="61">
        <f t="shared" si="8"/>
        <v>1775</v>
      </c>
    </row>
    <row r="212" spans="1:6" ht="34.5" customHeight="1" x14ac:dyDescent="0.3">
      <c r="A212" s="57"/>
      <c r="B212" s="56" t="s">
        <v>655</v>
      </c>
      <c r="C212" s="61"/>
      <c r="D212" s="61">
        <v>450</v>
      </c>
      <c r="E212" s="89"/>
      <c r="F212" s="61">
        <f t="shared" si="8"/>
        <v>450</v>
      </c>
    </row>
    <row r="213" spans="1:6" ht="34.5" customHeight="1" x14ac:dyDescent="0.3">
      <c r="A213" s="57"/>
      <c r="B213" s="56" t="s">
        <v>648</v>
      </c>
      <c r="C213" s="61"/>
      <c r="D213" s="61">
        <v>800</v>
      </c>
      <c r="E213" s="89"/>
      <c r="F213" s="61">
        <f t="shared" si="8"/>
        <v>800</v>
      </c>
    </row>
    <row r="214" spans="1:6" ht="34.5" customHeight="1" x14ac:dyDescent="0.3">
      <c r="A214" s="57"/>
      <c r="B214" s="56" t="s">
        <v>653</v>
      </c>
      <c r="C214" s="61"/>
      <c r="D214" s="61">
        <v>1895</v>
      </c>
      <c r="E214" s="89"/>
      <c r="F214" s="61">
        <f t="shared" si="8"/>
        <v>1895</v>
      </c>
    </row>
    <row r="215" spans="1:6" ht="34.5" customHeight="1" x14ac:dyDescent="0.3">
      <c r="A215" s="57"/>
      <c r="B215" s="56" t="s">
        <v>649</v>
      </c>
      <c r="C215" s="61"/>
      <c r="D215" s="61">
        <v>446</v>
      </c>
      <c r="E215" s="89"/>
      <c r="F215" s="61">
        <f t="shared" si="8"/>
        <v>446</v>
      </c>
    </row>
    <row r="216" spans="1:6" ht="34.5" customHeight="1" x14ac:dyDescent="0.3">
      <c r="A216" s="57"/>
      <c r="B216" s="56" t="s">
        <v>629</v>
      </c>
      <c r="C216" s="61"/>
      <c r="D216" s="61">
        <v>5000</v>
      </c>
      <c r="E216" s="89"/>
      <c r="F216" s="61">
        <f t="shared" si="8"/>
        <v>5000</v>
      </c>
    </row>
    <row r="217" spans="1:6" ht="34.5" customHeight="1" x14ac:dyDescent="0.3">
      <c r="A217" s="57"/>
      <c r="B217" s="56" t="s">
        <v>654</v>
      </c>
      <c r="C217" s="61"/>
      <c r="D217" s="61">
        <v>5310</v>
      </c>
      <c r="E217" s="89"/>
      <c r="F217" s="61">
        <f t="shared" si="8"/>
        <v>5310</v>
      </c>
    </row>
    <row r="218" spans="1:6" s="53" customFormat="1" ht="32.25" customHeight="1" x14ac:dyDescent="0.3">
      <c r="A218" s="58" t="s">
        <v>360</v>
      </c>
      <c r="B218" s="59" t="s">
        <v>361</v>
      </c>
      <c r="C218" s="60"/>
      <c r="D218" s="60">
        <f>D219+D226+D235+D257+D338</f>
        <v>3394634</v>
      </c>
      <c r="E218" s="89"/>
      <c r="F218" s="60">
        <f>D218</f>
        <v>3394634</v>
      </c>
    </row>
    <row r="219" spans="1:6" ht="32.25" customHeight="1" x14ac:dyDescent="0.3">
      <c r="A219" s="58" t="s">
        <v>362</v>
      </c>
      <c r="B219" s="59" t="s">
        <v>363</v>
      </c>
      <c r="C219" s="60"/>
      <c r="D219" s="60">
        <f>SUM(D220:D225)</f>
        <v>2091582</v>
      </c>
      <c r="E219" s="88"/>
      <c r="F219" s="60">
        <f t="shared" si="8"/>
        <v>2091582</v>
      </c>
    </row>
    <row r="220" spans="1:6" ht="20.25" customHeight="1" x14ac:dyDescent="0.3">
      <c r="A220" s="57"/>
      <c r="B220" s="56" t="s">
        <v>36</v>
      </c>
      <c r="C220" s="61"/>
      <c r="D220" s="61">
        <v>1431468</v>
      </c>
      <c r="E220" s="89"/>
      <c r="F220" s="61">
        <f t="shared" si="8"/>
        <v>1431468</v>
      </c>
    </row>
    <row r="221" spans="1:6" ht="21.75" customHeight="1" x14ac:dyDescent="0.3">
      <c r="A221" s="57"/>
      <c r="B221" s="56" t="s">
        <v>62</v>
      </c>
      <c r="C221" s="61"/>
      <c r="D221" s="61">
        <v>10796</v>
      </c>
      <c r="E221" s="89"/>
      <c r="F221" s="61">
        <f t="shared" si="8"/>
        <v>10796</v>
      </c>
    </row>
    <row r="222" spans="1:6" ht="20.25" customHeight="1" x14ac:dyDescent="0.3">
      <c r="A222" s="57"/>
      <c r="B222" s="56" t="s">
        <v>330</v>
      </c>
      <c r="C222" s="61"/>
      <c r="D222" s="61">
        <v>247968</v>
      </c>
      <c r="E222" s="89"/>
      <c r="F222" s="61">
        <f t="shared" si="8"/>
        <v>247968</v>
      </c>
    </row>
    <row r="223" spans="1:6" ht="20.25" customHeight="1" x14ac:dyDescent="0.3">
      <c r="A223" s="57"/>
      <c r="B223" s="56" t="s">
        <v>70</v>
      </c>
      <c r="C223" s="61"/>
      <c r="D223" s="61">
        <v>211556</v>
      </c>
      <c r="E223" s="89"/>
      <c r="F223" s="61">
        <f t="shared" si="8"/>
        <v>211556</v>
      </c>
    </row>
    <row r="224" spans="1:6" ht="18.75" customHeight="1" x14ac:dyDescent="0.3">
      <c r="A224" s="57"/>
      <c r="B224" s="56" t="s">
        <v>71</v>
      </c>
      <c r="C224" s="61"/>
      <c r="D224" s="61">
        <v>181584</v>
      </c>
      <c r="E224" s="89"/>
      <c r="F224" s="61">
        <f t="shared" si="8"/>
        <v>181584</v>
      </c>
    </row>
    <row r="225" spans="1:6" ht="21" customHeight="1" x14ac:dyDescent="0.3">
      <c r="A225" s="57"/>
      <c r="B225" s="56" t="s">
        <v>307</v>
      </c>
      <c r="C225" s="61"/>
      <c r="D225" s="61">
        <v>8210</v>
      </c>
      <c r="E225" s="89"/>
      <c r="F225" s="61">
        <f t="shared" si="8"/>
        <v>8210</v>
      </c>
    </row>
    <row r="226" spans="1:6" s="53" customFormat="1" ht="29.25" customHeight="1" x14ac:dyDescent="0.3">
      <c r="A226" s="58" t="s">
        <v>364</v>
      </c>
      <c r="B226" s="59" t="s">
        <v>365</v>
      </c>
      <c r="C226" s="60"/>
      <c r="D226" s="60">
        <f>SUM(D227:D234)</f>
        <v>290</v>
      </c>
      <c r="E226" s="88"/>
      <c r="F226" s="60">
        <f t="shared" si="8"/>
        <v>290</v>
      </c>
    </row>
    <row r="227" spans="1:6" ht="15" customHeight="1" x14ac:dyDescent="0.3">
      <c r="A227" s="57"/>
      <c r="B227" s="56" t="s">
        <v>19</v>
      </c>
      <c r="C227" s="61"/>
      <c r="D227" s="61">
        <v>80</v>
      </c>
      <c r="E227" s="89"/>
      <c r="F227" s="61">
        <f t="shared" si="8"/>
        <v>80</v>
      </c>
    </row>
    <row r="228" spans="1:6" ht="15" customHeight="1" x14ac:dyDescent="0.3">
      <c r="A228" s="57"/>
      <c r="B228" s="56" t="s">
        <v>366</v>
      </c>
      <c r="C228" s="61"/>
      <c r="D228" s="61">
        <v>30</v>
      </c>
      <c r="E228" s="89"/>
      <c r="F228" s="61">
        <f t="shared" si="8"/>
        <v>30</v>
      </c>
    </row>
    <row r="229" spans="1:6" ht="15" customHeight="1" x14ac:dyDescent="0.3">
      <c r="A229" s="57"/>
      <c r="B229" s="56" t="s">
        <v>79</v>
      </c>
      <c r="C229" s="61"/>
      <c r="D229" s="61">
        <v>30</v>
      </c>
      <c r="E229" s="89"/>
      <c r="F229" s="61">
        <f t="shared" si="8"/>
        <v>30</v>
      </c>
    </row>
    <row r="230" spans="1:6" ht="15" customHeight="1" x14ac:dyDescent="0.3">
      <c r="A230" s="57"/>
      <c r="B230" s="56" t="s">
        <v>367</v>
      </c>
      <c r="C230" s="61"/>
      <c r="D230" s="61">
        <v>30</v>
      </c>
      <c r="E230" s="89"/>
      <c r="F230" s="61">
        <f t="shared" si="8"/>
        <v>30</v>
      </c>
    </row>
    <row r="231" spans="1:6" ht="15" customHeight="1" x14ac:dyDescent="0.3">
      <c r="A231" s="57"/>
      <c r="B231" s="56" t="s">
        <v>641</v>
      </c>
      <c r="C231" s="61"/>
      <c r="D231" s="61">
        <v>30</v>
      </c>
      <c r="E231" s="89"/>
      <c r="F231" s="61">
        <f t="shared" si="8"/>
        <v>30</v>
      </c>
    </row>
    <row r="232" spans="1:6" ht="15" customHeight="1" x14ac:dyDescent="0.3">
      <c r="A232" s="57"/>
      <c r="B232" s="56" t="s">
        <v>68</v>
      </c>
      <c r="C232" s="61"/>
      <c r="D232" s="61">
        <v>30</v>
      </c>
      <c r="E232" s="89"/>
      <c r="F232" s="61">
        <f t="shared" si="8"/>
        <v>30</v>
      </c>
    </row>
    <row r="233" spans="1:6" ht="15" customHeight="1" x14ac:dyDescent="0.3">
      <c r="A233" s="57"/>
      <c r="B233" s="56" t="s">
        <v>368</v>
      </c>
      <c r="C233" s="61"/>
      <c r="D233" s="61">
        <v>30</v>
      </c>
      <c r="E233" s="89"/>
      <c r="F233" s="61">
        <f t="shared" si="8"/>
        <v>30</v>
      </c>
    </row>
    <row r="234" spans="1:6" ht="15" customHeight="1" x14ac:dyDescent="0.3">
      <c r="A234" s="57"/>
      <c r="B234" s="56" t="s">
        <v>369</v>
      </c>
      <c r="C234" s="61"/>
      <c r="D234" s="61">
        <v>30</v>
      </c>
      <c r="E234" s="89"/>
      <c r="F234" s="61">
        <f t="shared" si="8"/>
        <v>30</v>
      </c>
    </row>
    <row r="235" spans="1:6" ht="15" customHeight="1" x14ac:dyDescent="0.3">
      <c r="A235" s="58" t="s">
        <v>370</v>
      </c>
      <c r="B235" s="58" t="s">
        <v>371</v>
      </c>
      <c r="C235" s="60"/>
      <c r="D235" s="60">
        <f>SUM(D236:D256)</f>
        <v>85660</v>
      </c>
      <c r="E235" s="88"/>
      <c r="F235" s="60">
        <f t="shared" si="8"/>
        <v>85660</v>
      </c>
    </row>
    <row r="236" spans="1:6" ht="15" customHeight="1" x14ac:dyDescent="0.3">
      <c r="A236" s="57"/>
      <c r="B236" s="57" t="s">
        <v>501</v>
      </c>
      <c r="C236" s="61"/>
      <c r="D236" s="61">
        <v>26390</v>
      </c>
      <c r="E236" s="89"/>
      <c r="F236" s="61">
        <f t="shared" si="8"/>
        <v>26390</v>
      </c>
    </row>
    <row r="237" spans="1:6" ht="15" customHeight="1" x14ac:dyDescent="0.3">
      <c r="A237" s="57"/>
      <c r="B237" s="57" t="s">
        <v>502</v>
      </c>
      <c r="C237" s="61"/>
      <c r="D237" s="61">
        <v>2680</v>
      </c>
      <c r="E237" s="89"/>
      <c r="F237" s="61">
        <f t="shared" si="8"/>
        <v>2680</v>
      </c>
    </row>
    <row r="238" spans="1:6" ht="15" customHeight="1" x14ac:dyDescent="0.3">
      <c r="A238" s="57"/>
      <c r="B238" s="57" t="s">
        <v>372</v>
      </c>
      <c r="C238" s="61"/>
      <c r="D238" s="61">
        <v>5500</v>
      </c>
      <c r="E238" s="89"/>
      <c r="F238" s="61">
        <f t="shared" si="8"/>
        <v>5500</v>
      </c>
    </row>
    <row r="239" spans="1:6" ht="15" customHeight="1" x14ac:dyDescent="0.3">
      <c r="A239" s="57"/>
      <c r="B239" s="57" t="s">
        <v>188</v>
      </c>
      <c r="C239" s="61"/>
      <c r="D239" s="61">
        <v>800</v>
      </c>
      <c r="E239" s="89"/>
      <c r="F239" s="61">
        <f t="shared" si="8"/>
        <v>800</v>
      </c>
    </row>
    <row r="240" spans="1:6" ht="15" customHeight="1" x14ac:dyDescent="0.3">
      <c r="A240" s="57"/>
      <c r="B240" s="57" t="s">
        <v>23</v>
      </c>
      <c r="C240" s="61"/>
      <c r="D240" s="61">
        <v>680</v>
      </c>
      <c r="E240" s="89"/>
      <c r="F240" s="61">
        <f t="shared" si="8"/>
        <v>680</v>
      </c>
    </row>
    <row r="241" spans="1:6" ht="15" customHeight="1" x14ac:dyDescent="0.3">
      <c r="A241" s="57"/>
      <c r="B241" s="57" t="s">
        <v>373</v>
      </c>
      <c r="C241" s="61"/>
      <c r="D241" s="61">
        <v>5050</v>
      </c>
      <c r="E241" s="89"/>
      <c r="F241" s="61">
        <f t="shared" si="8"/>
        <v>5050</v>
      </c>
    </row>
    <row r="242" spans="1:6" ht="15" customHeight="1" x14ac:dyDescent="0.3">
      <c r="A242" s="57"/>
      <c r="B242" s="57" t="s">
        <v>320</v>
      </c>
      <c r="C242" s="61"/>
      <c r="D242" s="61">
        <v>6210</v>
      </c>
      <c r="E242" s="89"/>
      <c r="F242" s="61">
        <f t="shared" si="8"/>
        <v>6210</v>
      </c>
    </row>
    <row r="243" spans="1:6" ht="15" customHeight="1" x14ac:dyDescent="0.3">
      <c r="A243" s="57"/>
      <c r="B243" s="57" t="s">
        <v>84</v>
      </c>
      <c r="C243" s="61"/>
      <c r="D243" s="61">
        <v>2990</v>
      </c>
      <c r="E243" s="89"/>
      <c r="F243" s="61">
        <f t="shared" si="8"/>
        <v>2990</v>
      </c>
    </row>
    <row r="244" spans="1:6" ht="15" customHeight="1" x14ac:dyDescent="0.3">
      <c r="A244" s="57"/>
      <c r="B244" s="57" t="s">
        <v>122</v>
      </c>
      <c r="C244" s="61"/>
      <c r="D244" s="61">
        <v>540</v>
      </c>
      <c r="E244" s="89"/>
      <c r="F244" s="61">
        <f t="shared" si="8"/>
        <v>540</v>
      </c>
    </row>
    <row r="245" spans="1:6" ht="15" customHeight="1" x14ac:dyDescent="0.3">
      <c r="A245" s="57"/>
      <c r="B245" s="57" t="s">
        <v>494</v>
      </c>
      <c r="C245" s="61"/>
      <c r="D245" s="61">
        <v>100</v>
      </c>
      <c r="E245" s="89"/>
      <c r="F245" s="61">
        <f t="shared" si="8"/>
        <v>100</v>
      </c>
    </row>
    <row r="246" spans="1:6" ht="15" customHeight="1" x14ac:dyDescent="0.3">
      <c r="A246" s="57"/>
      <c r="B246" s="57" t="s">
        <v>374</v>
      </c>
      <c r="C246" s="61"/>
      <c r="D246" s="61">
        <v>4050</v>
      </c>
      <c r="E246" s="89"/>
      <c r="F246" s="61">
        <f t="shared" si="8"/>
        <v>4050</v>
      </c>
    </row>
    <row r="247" spans="1:6" s="53" customFormat="1" ht="24" customHeight="1" x14ac:dyDescent="0.3">
      <c r="A247" s="57"/>
      <c r="B247" s="57" t="s">
        <v>131</v>
      </c>
      <c r="C247" s="61"/>
      <c r="D247" s="61">
        <v>1980</v>
      </c>
      <c r="E247" s="89"/>
      <c r="F247" s="61">
        <f t="shared" si="8"/>
        <v>1980</v>
      </c>
    </row>
    <row r="248" spans="1:6" s="53" customFormat="1" ht="15" customHeight="1" x14ac:dyDescent="0.3">
      <c r="A248" s="57"/>
      <c r="B248" s="57" t="s">
        <v>321</v>
      </c>
      <c r="C248" s="61"/>
      <c r="D248" s="61">
        <v>420</v>
      </c>
      <c r="E248" s="89"/>
      <c r="F248" s="61">
        <f t="shared" si="8"/>
        <v>420</v>
      </c>
    </row>
    <row r="249" spans="1:6" s="54" customFormat="1" ht="15" customHeight="1" x14ac:dyDescent="0.3">
      <c r="A249" s="57"/>
      <c r="B249" s="57" t="s">
        <v>25</v>
      </c>
      <c r="C249" s="61"/>
      <c r="D249" s="61">
        <v>2730</v>
      </c>
      <c r="E249" s="89"/>
      <c r="F249" s="61">
        <f t="shared" ref="F249:F311" si="9">D249</f>
        <v>2730</v>
      </c>
    </row>
    <row r="250" spans="1:6" ht="24.75" customHeight="1" x14ac:dyDescent="0.3">
      <c r="A250" s="57"/>
      <c r="B250" s="57" t="s">
        <v>83</v>
      </c>
      <c r="C250" s="61"/>
      <c r="D250" s="61">
        <v>14450</v>
      </c>
      <c r="E250" s="89"/>
      <c r="F250" s="61">
        <f t="shared" si="9"/>
        <v>14450</v>
      </c>
    </row>
    <row r="251" spans="1:6" ht="15" customHeight="1" x14ac:dyDescent="0.3">
      <c r="A251" s="57"/>
      <c r="B251" s="57" t="s">
        <v>82</v>
      </c>
      <c r="C251" s="61"/>
      <c r="D251" s="61">
        <v>2390</v>
      </c>
      <c r="E251" s="89"/>
      <c r="F251" s="61">
        <f t="shared" si="9"/>
        <v>2390</v>
      </c>
    </row>
    <row r="252" spans="1:6" ht="15" customHeight="1" x14ac:dyDescent="0.3">
      <c r="A252" s="57"/>
      <c r="B252" s="57" t="s">
        <v>60</v>
      </c>
      <c r="C252" s="61"/>
      <c r="D252" s="61">
        <v>2200</v>
      </c>
      <c r="E252" s="89"/>
      <c r="F252" s="61">
        <f t="shared" si="9"/>
        <v>2200</v>
      </c>
    </row>
    <row r="253" spans="1:6" ht="15" customHeight="1" x14ac:dyDescent="0.3">
      <c r="A253" s="57"/>
      <c r="B253" s="57" t="s">
        <v>80</v>
      </c>
      <c r="C253" s="61"/>
      <c r="D253" s="61">
        <v>360</v>
      </c>
      <c r="E253" s="89"/>
      <c r="F253" s="61">
        <f t="shared" si="9"/>
        <v>360</v>
      </c>
    </row>
    <row r="254" spans="1:6" ht="15" customHeight="1" x14ac:dyDescent="0.3">
      <c r="A254" s="57"/>
      <c r="B254" s="57" t="s">
        <v>73</v>
      </c>
      <c r="C254" s="61"/>
      <c r="D254" s="61">
        <v>900</v>
      </c>
      <c r="E254" s="89"/>
      <c r="F254" s="61">
        <f t="shared" si="9"/>
        <v>900</v>
      </c>
    </row>
    <row r="255" spans="1:6" ht="19.5" customHeight="1" x14ac:dyDescent="0.3">
      <c r="A255" s="57"/>
      <c r="B255" s="57" t="s">
        <v>85</v>
      </c>
      <c r="C255" s="61"/>
      <c r="D255" s="61">
        <v>1800</v>
      </c>
      <c r="E255" s="89"/>
      <c r="F255" s="61">
        <f t="shared" si="9"/>
        <v>1800</v>
      </c>
    </row>
    <row r="256" spans="1:6" ht="15" customHeight="1" x14ac:dyDescent="0.3">
      <c r="A256" s="57"/>
      <c r="B256" s="57" t="s">
        <v>375</v>
      </c>
      <c r="C256" s="61"/>
      <c r="D256" s="61">
        <v>3440</v>
      </c>
      <c r="E256" s="89"/>
      <c r="F256" s="61">
        <f t="shared" si="9"/>
        <v>3440</v>
      </c>
    </row>
    <row r="257" spans="1:6" ht="33" customHeight="1" x14ac:dyDescent="0.3">
      <c r="A257" s="58" t="s">
        <v>376</v>
      </c>
      <c r="B257" s="59" t="s">
        <v>377</v>
      </c>
      <c r="C257" s="60"/>
      <c r="D257" s="60">
        <f>D258+D332</f>
        <v>763237</v>
      </c>
      <c r="E257" s="60">
        <f>E258+E332</f>
        <v>0</v>
      </c>
      <c r="F257" s="60">
        <f t="shared" si="9"/>
        <v>763237</v>
      </c>
    </row>
    <row r="258" spans="1:6" ht="30" customHeight="1" x14ac:dyDescent="0.3">
      <c r="A258" s="58" t="s">
        <v>379</v>
      </c>
      <c r="B258" s="59" t="s">
        <v>380</v>
      </c>
      <c r="C258" s="60"/>
      <c r="D258" s="60">
        <f>SUM(D259:D331)</f>
        <v>758753</v>
      </c>
      <c r="E258" s="60">
        <f>SUM(E259:E331)</f>
        <v>0</v>
      </c>
      <c r="F258" s="60">
        <f>D258</f>
        <v>758753</v>
      </c>
    </row>
    <row r="259" spans="1:6" ht="20.25" customHeight="1" x14ac:dyDescent="0.3">
      <c r="A259" s="57"/>
      <c r="B259" s="56" t="s">
        <v>378</v>
      </c>
      <c r="C259" s="61"/>
      <c r="D259" s="61">
        <v>7240</v>
      </c>
      <c r="E259" s="89"/>
      <c r="F259" s="61">
        <f t="shared" si="9"/>
        <v>7240</v>
      </c>
    </row>
    <row r="260" spans="1:6" ht="30.75" customHeight="1" x14ac:dyDescent="0.3">
      <c r="A260" s="57"/>
      <c r="B260" s="56" t="s">
        <v>352</v>
      </c>
      <c r="C260" s="61"/>
      <c r="D260" s="61">
        <v>3200</v>
      </c>
      <c r="E260" s="89"/>
      <c r="F260" s="61">
        <f t="shared" si="9"/>
        <v>3200</v>
      </c>
    </row>
    <row r="261" spans="1:6" ht="15" customHeight="1" x14ac:dyDescent="0.3">
      <c r="A261" s="57"/>
      <c r="B261" s="56" t="s">
        <v>501</v>
      </c>
      <c r="C261" s="61"/>
      <c r="D261" s="61">
        <v>500</v>
      </c>
      <c r="E261" s="89"/>
      <c r="F261" s="61">
        <f t="shared" si="9"/>
        <v>500</v>
      </c>
    </row>
    <row r="262" spans="1:6" ht="15" customHeight="1" x14ac:dyDescent="0.3">
      <c r="A262" s="57"/>
      <c r="B262" s="56" t="s">
        <v>503</v>
      </c>
      <c r="C262" s="61"/>
      <c r="D262" s="61">
        <v>5000</v>
      </c>
      <c r="E262" s="89"/>
      <c r="F262" s="61">
        <f t="shared" si="9"/>
        <v>5000</v>
      </c>
    </row>
    <row r="263" spans="1:6" ht="15" customHeight="1" x14ac:dyDescent="0.3">
      <c r="A263" s="57"/>
      <c r="B263" s="56" t="s">
        <v>531</v>
      </c>
      <c r="C263" s="61"/>
      <c r="D263" s="61">
        <v>13500</v>
      </c>
      <c r="E263" s="89"/>
      <c r="F263" s="61">
        <f t="shared" si="9"/>
        <v>13500</v>
      </c>
    </row>
    <row r="264" spans="1:6" ht="15" customHeight="1" x14ac:dyDescent="0.3">
      <c r="A264" s="57"/>
      <c r="B264" s="56" t="s">
        <v>31</v>
      </c>
      <c r="C264" s="61"/>
      <c r="D264" s="61">
        <v>3000</v>
      </c>
      <c r="E264" s="89"/>
      <c r="F264" s="61">
        <f t="shared" si="9"/>
        <v>3000</v>
      </c>
    </row>
    <row r="265" spans="1:6" ht="15" customHeight="1" x14ac:dyDescent="0.3">
      <c r="A265" s="57"/>
      <c r="B265" s="56" t="s">
        <v>488</v>
      </c>
      <c r="C265" s="61"/>
      <c r="D265" s="61">
        <v>180</v>
      </c>
      <c r="E265" s="89"/>
      <c r="F265" s="61">
        <f t="shared" si="9"/>
        <v>180</v>
      </c>
    </row>
    <row r="266" spans="1:6" ht="19.5" customHeight="1" x14ac:dyDescent="0.3">
      <c r="A266" s="57"/>
      <c r="B266" s="56" t="s">
        <v>41</v>
      </c>
      <c r="C266" s="61"/>
      <c r="D266" s="61">
        <v>4000</v>
      </c>
      <c r="E266" s="89"/>
      <c r="F266" s="61">
        <f t="shared" si="9"/>
        <v>4000</v>
      </c>
    </row>
    <row r="267" spans="1:6" ht="19.5" customHeight="1" x14ac:dyDescent="0.3">
      <c r="A267" s="57"/>
      <c r="B267" s="56" t="s">
        <v>505</v>
      </c>
      <c r="C267" s="61"/>
      <c r="D267" s="61">
        <v>11000</v>
      </c>
      <c r="E267" s="89"/>
      <c r="F267" s="61">
        <f t="shared" si="9"/>
        <v>11000</v>
      </c>
    </row>
    <row r="268" spans="1:6" ht="15" customHeight="1" x14ac:dyDescent="0.3">
      <c r="A268" s="57"/>
      <c r="B268" s="56" t="s">
        <v>504</v>
      </c>
      <c r="C268" s="61"/>
      <c r="D268" s="61">
        <v>7677</v>
      </c>
      <c r="E268" s="89"/>
      <c r="F268" s="61">
        <f t="shared" si="9"/>
        <v>7677</v>
      </c>
    </row>
    <row r="269" spans="1:6" ht="15" customHeight="1" x14ac:dyDescent="0.3">
      <c r="A269" s="57"/>
      <c r="B269" s="56" t="s">
        <v>632</v>
      </c>
      <c r="C269" s="61"/>
      <c r="D269" s="61">
        <v>9700</v>
      </c>
      <c r="E269" s="89"/>
      <c r="F269" s="61">
        <f t="shared" si="9"/>
        <v>9700</v>
      </c>
    </row>
    <row r="270" spans="1:6" ht="15" customHeight="1" x14ac:dyDescent="0.3">
      <c r="A270" s="57"/>
      <c r="B270" s="56" t="s">
        <v>633</v>
      </c>
      <c r="C270" s="61"/>
      <c r="D270" s="61">
        <v>428</v>
      </c>
      <c r="E270" s="89"/>
      <c r="F270" s="61">
        <f t="shared" si="9"/>
        <v>428</v>
      </c>
    </row>
    <row r="271" spans="1:6" ht="15" customHeight="1" x14ac:dyDescent="0.3">
      <c r="A271" s="57"/>
      <c r="B271" s="56" t="s">
        <v>495</v>
      </c>
      <c r="C271" s="61"/>
      <c r="D271" s="61">
        <v>10000</v>
      </c>
      <c r="E271" s="89"/>
      <c r="F271" s="61">
        <f t="shared" si="9"/>
        <v>10000</v>
      </c>
    </row>
    <row r="272" spans="1:6" ht="20.25" customHeight="1" x14ac:dyDescent="0.3">
      <c r="A272" s="57"/>
      <c r="B272" s="57" t="s">
        <v>82</v>
      </c>
      <c r="C272" s="61"/>
      <c r="D272" s="61">
        <v>60</v>
      </c>
      <c r="E272" s="89"/>
      <c r="F272" s="61">
        <f t="shared" si="9"/>
        <v>60</v>
      </c>
    </row>
    <row r="273" spans="1:6" ht="20.25" customHeight="1" x14ac:dyDescent="0.3">
      <c r="A273" s="57"/>
      <c r="B273" s="56" t="s">
        <v>190</v>
      </c>
      <c r="C273" s="61"/>
      <c r="D273" s="61">
        <v>160</v>
      </c>
      <c r="E273" s="89"/>
      <c r="F273" s="61">
        <f t="shared" si="9"/>
        <v>160</v>
      </c>
    </row>
    <row r="274" spans="1:6" ht="19.5" customHeight="1" x14ac:dyDescent="0.3">
      <c r="A274" s="57"/>
      <c r="B274" s="56" t="s">
        <v>117</v>
      </c>
      <c r="C274" s="61"/>
      <c r="D274" s="61">
        <v>500</v>
      </c>
      <c r="E274" s="89"/>
      <c r="F274" s="61">
        <f t="shared" si="9"/>
        <v>500</v>
      </c>
    </row>
    <row r="275" spans="1:6" ht="18.75" customHeight="1" x14ac:dyDescent="0.3">
      <c r="A275" s="57"/>
      <c r="B275" s="56" t="s">
        <v>506</v>
      </c>
      <c r="C275" s="61"/>
      <c r="D275" s="61">
        <v>5600</v>
      </c>
      <c r="E275" s="89"/>
      <c r="F275" s="61">
        <f t="shared" si="9"/>
        <v>5600</v>
      </c>
    </row>
    <row r="276" spans="1:6" ht="21.75" customHeight="1" x14ac:dyDescent="0.3">
      <c r="A276" s="57"/>
      <c r="B276" s="56" t="s">
        <v>11</v>
      </c>
      <c r="C276" s="61"/>
      <c r="D276" s="61">
        <v>1977</v>
      </c>
      <c r="E276" s="89"/>
      <c r="F276" s="61">
        <f t="shared" si="9"/>
        <v>1977</v>
      </c>
    </row>
    <row r="277" spans="1:6" ht="21.75" customHeight="1" x14ac:dyDescent="0.3">
      <c r="A277" s="57"/>
      <c r="B277" s="56" t="s">
        <v>12</v>
      </c>
      <c r="C277" s="61"/>
      <c r="D277" s="61">
        <v>2785</v>
      </c>
      <c r="E277" s="89"/>
      <c r="F277" s="61">
        <f t="shared" si="9"/>
        <v>2785</v>
      </c>
    </row>
    <row r="278" spans="1:6" ht="22.5" customHeight="1" x14ac:dyDescent="0.3">
      <c r="A278" s="57"/>
      <c r="B278" s="56" t="s">
        <v>507</v>
      </c>
      <c r="C278" s="61"/>
      <c r="D278" s="61">
        <v>37000</v>
      </c>
      <c r="E278" s="89"/>
      <c r="F278" s="61">
        <f t="shared" si="9"/>
        <v>37000</v>
      </c>
    </row>
    <row r="279" spans="1:6" ht="25.2" customHeight="1" x14ac:dyDescent="0.3">
      <c r="A279" s="57"/>
      <c r="B279" s="56" t="s">
        <v>492</v>
      </c>
      <c r="C279" s="61"/>
      <c r="D279" s="61">
        <v>200</v>
      </c>
      <c r="E279" s="89"/>
      <c r="F279" s="61">
        <f t="shared" si="9"/>
        <v>200</v>
      </c>
    </row>
    <row r="280" spans="1:6" ht="25.2" customHeight="1" x14ac:dyDescent="0.3">
      <c r="A280" s="57"/>
      <c r="B280" s="56" t="s">
        <v>76</v>
      </c>
      <c r="C280" s="61"/>
      <c r="D280" s="61">
        <v>5500</v>
      </c>
      <c r="E280" s="89"/>
      <c r="F280" s="61">
        <f t="shared" si="9"/>
        <v>5500</v>
      </c>
    </row>
    <row r="281" spans="1:6" ht="29.25" customHeight="1" x14ac:dyDescent="0.3">
      <c r="A281" s="57"/>
      <c r="B281" s="56" t="s">
        <v>508</v>
      </c>
      <c r="C281" s="61"/>
      <c r="D281" s="61">
        <v>1167</v>
      </c>
      <c r="E281" s="89"/>
      <c r="F281" s="61">
        <f t="shared" si="9"/>
        <v>1167</v>
      </c>
    </row>
    <row r="282" spans="1:6" ht="15.75" customHeight="1" x14ac:dyDescent="0.3">
      <c r="A282" s="57"/>
      <c r="B282" s="56" t="s">
        <v>496</v>
      </c>
      <c r="C282" s="61"/>
      <c r="D282" s="61">
        <v>5800</v>
      </c>
      <c r="E282" s="89"/>
      <c r="F282" s="61">
        <f t="shared" si="9"/>
        <v>5800</v>
      </c>
    </row>
    <row r="283" spans="1:6" ht="15" customHeight="1" x14ac:dyDescent="0.3">
      <c r="A283" s="57"/>
      <c r="B283" s="56" t="s">
        <v>509</v>
      </c>
      <c r="C283" s="61"/>
      <c r="D283" s="61">
        <v>1550</v>
      </c>
      <c r="E283" s="89"/>
      <c r="F283" s="61">
        <f t="shared" si="9"/>
        <v>1550</v>
      </c>
    </row>
    <row r="284" spans="1:6" ht="15" customHeight="1" x14ac:dyDescent="0.3">
      <c r="A284" s="57"/>
      <c r="B284" s="56" t="s">
        <v>551</v>
      </c>
      <c r="C284" s="61"/>
      <c r="D284" s="61">
        <v>11420</v>
      </c>
      <c r="E284" s="89"/>
      <c r="F284" s="61">
        <f t="shared" si="9"/>
        <v>11420</v>
      </c>
    </row>
    <row r="285" spans="1:6" ht="15" customHeight="1" x14ac:dyDescent="0.3">
      <c r="A285" s="57"/>
      <c r="B285" s="56" t="s">
        <v>720</v>
      </c>
      <c r="C285" s="61"/>
      <c r="D285" s="61">
        <v>65000</v>
      </c>
      <c r="E285" s="89" t="s">
        <v>381</v>
      </c>
      <c r="F285" s="61">
        <f t="shared" si="9"/>
        <v>65000</v>
      </c>
    </row>
    <row r="286" spans="1:6" ht="15" customHeight="1" x14ac:dyDescent="0.3">
      <c r="A286" s="57"/>
      <c r="B286" s="56" t="s">
        <v>721</v>
      </c>
      <c r="C286" s="61"/>
      <c r="D286" s="61">
        <v>35878</v>
      </c>
      <c r="E286" s="89" t="s">
        <v>381</v>
      </c>
      <c r="F286" s="61">
        <f t="shared" si="9"/>
        <v>35878</v>
      </c>
    </row>
    <row r="287" spans="1:6" ht="15" customHeight="1" x14ac:dyDescent="0.3">
      <c r="A287" s="57"/>
      <c r="B287" s="56" t="s">
        <v>719</v>
      </c>
      <c r="C287" s="61"/>
      <c r="D287" s="61">
        <v>16000</v>
      </c>
      <c r="E287" s="89"/>
      <c r="F287" s="61">
        <f t="shared" si="9"/>
        <v>16000</v>
      </c>
    </row>
    <row r="288" spans="1:6" ht="15" customHeight="1" x14ac:dyDescent="0.3">
      <c r="A288" s="57"/>
      <c r="B288" s="56" t="s">
        <v>722</v>
      </c>
      <c r="C288" s="61"/>
      <c r="D288" s="61">
        <v>85000</v>
      </c>
      <c r="E288" s="89"/>
      <c r="F288" s="61">
        <f t="shared" si="9"/>
        <v>85000</v>
      </c>
    </row>
    <row r="289" spans="1:6" ht="15" customHeight="1" x14ac:dyDescent="0.3">
      <c r="A289" s="57"/>
      <c r="B289" s="56" t="s">
        <v>713</v>
      </c>
      <c r="C289" s="61"/>
      <c r="D289" s="61">
        <v>17000</v>
      </c>
      <c r="E289" s="89"/>
      <c r="F289" s="61">
        <f t="shared" si="9"/>
        <v>17000</v>
      </c>
    </row>
    <row r="290" spans="1:6" ht="15" customHeight="1" x14ac:dyDescent="0.3">
      <c r="A290" s="57"/>
      <c r="B290" s="56" t="s">
        <v>714</v>
      </c>
      <c r="C290" s="61"/>
      <c r="D290" s="61">
        <v>32200</v>
      </c>
      <c r="E290" s="89"/>
      <c r="F290" s="61">
        <f t="shared" si="9"/>
        <v>32200</v>
      </c>
    </row>
    <row r="291" spans="1:6" ht="15" customHeight="1" x14ac:dyDescent="0.3">
      <c r="A291" s="57"/>
      <c r="B291" s="56" t="s">
        <v>723</v>
      </c>
      <c r="C291" s="61"/>
      <c r="D291" s="61">
        <v>80000</v>
      </c>
      <c r="E291" s="89"/>
      <c r="F291" s="61">
        <f t="shared" si="9"/>
        <v>80000</v>
      </c>
    </row>
    <row r="292" spans="1:6" ht="15" customHeight="1" x14ac:dyDescent="0.3">
      <c r="A292" s="57"/>
      <c r="B292" s="56" t="s">
        <v>121</v>
      </c>
      <c r="C292" s="61"/>
      <c r="D292" s="61">
        <v>3635</v>
      </c>
      <c r="E292" s="89"/>
      <c r="F292" s="61">
        <f t="shared" si="9"/>
        <v>3635</v>
      </c>
    </row>
    <row r="293" spans="1:6" ht="15" customHeight="1" x14ac:dyDescent="0.3">
      <c r="A293" s="57"/>
      <c r="B293" s="56" t="s">
        <v>120</v>
      </c>
      <c r="C293" s="61"/>
      <c r="D293" s="61">
        <v>10185</v>
      </c>
      <c r="E293" s="89"/>
      <c r="F293" s="61">
        <f t="shared" si="9"/>
        <v>10185</v>
      </c>
    </row>
    <row r="294" spans="1:6" ht="15" customHeight="1" x14ac:dyDescent="0.3">
      <c r="A294" s="57"/>
      <c r="B294" s="56" t="s">
        <v>697</v>
      </c>
      <c r="C294" s="61"/>
      <c r="D294" s="61">
        <v>10625</v>
      </c>
      <c r="E294" s="89"/>
      <c r="F294" s="61">
        <f t="shared" si="9"/>
        <v>10625</v>
      </c>
    </row>
    <row r="295" spans="1:6" ht="15" customHeight="1" x14ac:dyDescent="0.3">
      <c r="A295" s="57"/>
      <c r="B295" s="56" t="s">
        <v>696</v>
      </c>
      <c r="C295" s="61"/>
      <c r="D295" s="61">
        <v>5920</v>
      </c>
      <c r="E295" s="89"/>
      <c r="F295" s="61">
        <f t="shared" si="9"/>
        <v>5920</v>
      </c>
    </row>
    <row r="296" spans="1:6" ht="15" customHeight="1" x14ac:dyDescent="0.3">
      <c r="A296" s="57"/>
      <c r="B296" s="56" t="s">
        <v>695</v>
      </c>
      <c r="C296" s="61"/>
      <c r="D296" s="61">
        <v>3215</v>
      </c>
      <c r="E296" s="89"/>
      <c r="F296" s="61">
        <f t="shared" si="9"/>
        <v>3215</v>
      </c>
    </row>
    <row r="297" spans="1:6" ht="15" customHeight="1" x14ac:dyDescent="0.3">
      <c r="A297" s="57"/>
      <c r="B297" s="56" t="s">
        <v>572</v>
      </c>
      <c r="C297" s="61"/>
      <c r="D297" s="61">
        <v>5325</v>
      </c>
      <c r="E297" s="89"/>
      <c r="F297" s="61">
        <f t="shared" si="9"/>
        <v>5325</v>
      </c>
    </row>
    <row r="298" spans="1:6" ht="15" customHeight="1" x14ac:dyDescent="0.3">
      <c r="A298" s="57"/>
      <c r="B298" s="56" t="s">
        <v>694</v>
      </c>
      <c r="C298" s="61"/>
      <c r="D298" s="61">
        <v>8020</v>
      </c>
      <c r="E298" s="89"/>
      <c r="F298" s="61">
        <f t="shared" si="9"/>
        <v>8020</v>
      </c>
    </row>
    <row r="299" spans="1:6" ht="15" customHeight="1" x14ac:dyDescent="0.3">
      <c r="A299" s="57"/>
      <c r="B299" s="56" t="s">
        <v>693</v>
      </c>
      <c r="C299" s="61"/>
      <c r="D299" s="61">
        <v>10000</v>
      </c>
      <c r="E299" s="89"/>
      <c r="F299" s="61">
        <f t="shared" si="9"/>
        <v>10000</v>
      </c>
    </row>
    <row r="300" spans="1:6" ht="15" customHeight="1" x14ac:dyDescent="0.3">
      <c r="A300" s="57"/>
      <c r="B300" s="56" t="s">
        <v>77</v>
      </c>
      <c r="C300" s="61"/>
      <c r="D300" s="61">
        <v>9069</v>
      </c>
      <c r="E300" s="89"/>
      <c r="F300" s="61">
        <f t="shared" si="9"/>
        <v>9069</v>
      </c>
    </row>
    <row r="301" spans="1:6" ht="15" customHeight="1" x14ac:dyDescent="0.3">
      <c r="A301" s="57"/>
      <c r="B301" s="56" t="s">
        <v>692</v>
      </c>
      <c r="C301" s="61"/>
      <c r="D301" s="61">
        <v>3455</v>
      </c>
      <c r="E301" s="89"/>
      <c r="F301" s="61">
        <f t="shared" si="9"/>
        <v>3455</v>
      </c>
    </row>
    <row r="302" spans="1:6" ht="15" customHeight="1" x14ac:dyDescent="0.3">
      <c r="A302" s="57"/>
      <c r="B302" s="56" t="s">
        <v>691</v>
      </c>
      <c r="C302" s="61"/>
      <c r="D302" s="61">
        <v>6255</v>
      </c>
      <c r="E302" s="89"/>
      <c r="F302" s="61">
        <f t="shared" si="9"/>
        <v>6255</v>
      </c>
    </row>
    <row r="303" spans="1:6" ht="15.75" customHeight="1" x14ac:dyDescent="0.3">
      <c r="A303" s="57"/>
      <c r="B303" s="56" t="s">
        <v>689</v>
      </c>
      <c r="C303" s="61"/>
      <c r="D303" s="61">
        <v>4175</v>
      </c>
      <c r="E303" s="89"/>
      <c r="F303" s="61">
        <f t="shared" si="9"/>
        <v>4175</v>
      </c>
    </row>
    <row r="304" spans="1:6" ht="19.5" customHeight="1" x14ac:dyDescent="0.3">
      <c r="A304" s="57"/>
      <c r="B304" s="56" t="s">
        <v>569</v>
      </c>
      <c r="C304" s="61"/>
      <c r="D304" s="61">
        <v>4300</v>
      </c>
      <c r="E304" s="89"/>
      <c r="F304" s="61">
        <f t="shared" si="9"/>
        <v>4300</v>
      </c>
    </row>
    <row r="305" spans="1:6" ht="18" customHeight="1" x14ac:dyDescent="0.3">
      <c r="A305" s="57"/>
      <c r="B305" s="56" t="s">
        <v>78</v>
      </c>
      <c r="C305" s="61"/>
      <c r="D305" s="61">
        <v>12100</v>
      </c>
      <c r="E305" s="89"/>
      <c r="F305" s="61">
        <f t="shared" si="9"/>
        <v>12100</v>
      </c>
    </row>
    <row r="306" spans="1:6" ht="24" customHeight="1" x14ac:dyDescent="0.3">
      <c r="A306" s="57"/>
      <c r="B306" s="56" t="s">
        <v>690</v>
      </c>
      <c r="C306" s="61"/>
      <c r="D306" s="61">
        <v>9890</v>
      </c>
      <c r="E306" s="89"/>
      <c r="F306" s="61">
        <f t="shared" si="9"/>
        <v>9890</v>
      </c>
    </row>
    <row r="307" spans="1:6" ht="22.5" customHeight="1" x14ac:dyDescent="0.3">
      <c r="A307" s="57"/>
      <c r="B307" s="56" t="s">
        <v>698</v>
      </c>
      <c r="C307" s="61"/>
      <c r="D307" s="61">
        <v>4620</v>
      </c>
      <c r="E307" s="89"/>
      <c r="F307" s="61">
        <f t="shared" si="9"/>
        <v>4620</v>
      </c>
    </row>
    <row r="308" spans="1:6" ht="18.75" customHeight="1" x14ac:dyDescent="0.3">
      <c r="A308" s="57"/>
      <c r="B308" s="56" t="s">
        <v>699</v>
      </c>
      <c r="C308" s="61"/>
      <c r="D308" s="61">
        <v>3785</v>
      </c>
      <c r="E308" s="89"/>
      <c r="F308" s="61">
        <f t="shared" si="9"/>
        <v>3785</v>
      </c>
    </row>
    <row r="309" spans="1:6" ht="18.75" customHeight="1" x14ac:dyDescent="0.3">
      <c r="A309" s="57"/>
      <c r="B309" s="56" t="s">
        <v>565</v>
      </c>
      <c r="C309" s="61"/>
      <c r="D309" s="61">
        <v>4225</v>
      </c>
      <c r="E309" s="89"/>
      <c r="F309" s="61">
        <f t="shared" si="9"/>
        <v>4225</v>
      </c>
    </row>
    <row r="310" spans="1:6" ht="20.25" customHeight="1" x14ac:dyDescent="0.3">
      <c r="A310" s="57"/>
      <c r="B310" s="56" t="s">
        <v>570</v>
      </c>
      <c r="C310" s="61"/>
      <c r="D310" s="61">
        <v>20100</v>
      </c>
      <c r="E310" s="89"/>
      <c r="F310" s="61">
        <f t="shared" si="9"/>
        <v>20100</v>
      </c>
    </row>
    <row r="311" spans="1:6" ht="23.25" customHeight="1" x14ac:dyDescent="0.3">
      <c r="A311" s="57"/>
      <c r="B311" s="56" t="s">
        <v>603</v>
      </c>
      <c r="C311" s="61"/>
      <c r="D311" s="61">
        <v>3915</v>
      </c>
      <c r="E311" s="89"/>
      <c r="F311" s="61">
        <f t="shared" si="9"/>
        <v>3915</v>
      </c>
    </row>
    <row r="312" spans="1:6" ht="24.75" customHeight="1" x14ac:dyDescent="0.3">
      <c r="A312" s="57"/>
      <c r="B312" s="56" t="s">
        <v>604</v>
      </c>
      <c r="C312" s="61"/>
      <c r="D312" s="61">
        <v>11455</v>
      </c>
      <c r="E312" s="89"/>
      <c r="F312" s="61">
        <f t="shared" ref="F312:F337" si="10">D312</f>
        <v>11455</v>
      </c>
    </row>
    <row r="313" spans="1:6" ht="24" customHeight="1" x14ac:dyDescent="0.3">
      <c r="A313" s="57"/>
      <c r="B313" s="56" t="s">
        <v>573</v>
      </c>
      <c r="C313" s="61"/>
      <c r="D313" s="61">
        <v>7660</v>
      </c>
      <c r="E313" s="89"/>
      <c r="F313" s="61">
        <f t="shared" si="10"/>
        <v>7660</v>
      </c>
    </row>
    <row r="314" spans="1:6" ht="20.25" customHeight="1" x14ac:dyDescent="0.3">
      <c r="A314" s="57"/>
      <c r="B314" s="56" t="s">
        <v>574</v>
      </c>
      <c r="C314" s="61"/>
      <c r="D314" s="61">
        <v>5595</v>
      </c>
      <c r="E314" s="89"/>
      <c r="F314" s="61">
        <f t="shared" si="10"/>
        <v>5595</v>
      </c>
    </row>
    <row r="315" spans="1:6" ht="30" customHeight="1" x14ac:dyDescent="0.3">
      <c r="A315" s="57"/>
      <c r="B315" s="56" t="s">
        <v>575</v>
      </c>
      <c r="C315" s="61"/>
      <c r="D315" s="61">
        <v>6325</v>
      </c>
      <c r="E315" s="89"/>
      <c r="F315" s="61">
        <f t="shared" si="10"/>
        <v>6325</v>
      </c>
    </row>
    <row r="316" spans="1:6" ht="30" customHeight="1" x14ac:dyDescent="0.3">
      <c r="A316" s="57"/>
      <c r="B316" s="56" t="s">
        <v>576</v>
      </c>
      <c r="C316" s="61"/>
      <c r="D316" s="61">
        <v>3235</v>
      </c>
      <c r="E316" s="89"/>
      <c r="F316" s="61">
        <f t="shared" si="10"/>
        <v>3235</v>
      </c>
    </row>
    <row r="317" spans="1:6" ht="30" customHeight="1" x14ac:dyDescent="0.3">
      <c r="A317" s="57"/>
      <c r="B317" s="56" t="s">
        <v>577</v>
      </c>
      <c r="C317" s="61"/>
      <c r="D317" s="61">
        <v>7700</v>
      </c>
      <c r="E317" s="89"/>
      <c r="F317" s="61">
        <f t="shared" si="10"/>
        <v>7700</v>
      </c>
    </row>
    <row r="318" spans="1:6" ht="30" customHeight="1" x14ac:dyDescent="0.3">
      <c r="A318" s="57"/>
      <c r="B318" s="56" t="s">
        <v>578</v>
      </c>
      <c r="C318" s="61"/>
      <c r="D318" s="61">
        <v>5700</v>
      </c>
      <c r="E318" s="89"/>
      <c r="F318" s="61">
        <f t="shared" si="10"/>
        <v>5700</v>
      </c>
    </row>
    <row r="319" spans="1:6" ht="30" customHeight="1" x14ac:dyDescent="0.3">
      <c r="A319" s="57"/>
      <c r="B319" s="56" t="s">
        <v>579</v>
      </c>
      <c r="C319" s="61"/>
      <c r="D319" s="61">
        <v>3000</v>
      </c>
      <c r="E319" s="89"/>
      <c r="F319" s="61">
        <f t="shared" si="10"/>
        <v>3000</v>
      </c>
    </row>
    <row r="320" spans="1:6" ht="30" customHeight="1" x14ac:dyDescent="0.3">
      <c r="A320" s="57"/>
      <c r="B320" s="56" t="s">
        <v>580</v>
      </c>
      <c r="C320" s="61"/>
      <c r="D320" s="61">
        <v>11730</v>
      </c>
      <c r="E320" s="89"/>
      <c r="F320" s="61">
        <f t="shared" si="10"/>
        <v>11730</v>
      </c>
    </row>
    <row r="321" spans="1:6" ht="30" customHeight="1" x14ac:dyDescent="0.3">
      <c r="A321" s="57"/>
      <c r="B321" s="56" t="s">
        <v>581</v>
      </c>
      <c r="C321" s="61"/>
      <c r="D321" s="61">
        <v>1950</v>
      </c>
      <c r="E321" s="89"/>
      <c r="F321" s="61">
        <f t="shared" si="10"/>
        <v>1950</v>
      </c>
    </row>
    <row r="322" spans="1:6" ht="25.5" customHeight="1" x14ac:dyDescent="0.3">
      <c r="A322" s="57"/>
      <c r="B322" s="56" t="s">
        <v>582</v>
      </c>
      <c r="C322" s="61"/>
      <c r="D322" s="61">
        <v>8890</v>
      </c>
      <c r="E322" s="89"/>
      <c r="F322" s="61">
        <f t="shared" si="10"/>
        <v>8890</v>
      </c>
    </row>
    <row r="323" spans="1:6" s="53" customFormat="1" ht="33" customHeight="1" x14ac:dyDescent="0.3">
      <c r="A323" s="57"/>
      <c r="B323" s="56" t="s">
        <v>715</v>
      </c>
      <c r="C323" s="61"/>
      <c r="D323" s="61">
        <v>2640</v>
      </c>
      <c r="E323" s="89"/>
      <c r="F323" s="61">
        <f t="shared" si="10"/>
        <v>2640</v>
      </c>
    </row>
    <row r="324" spans="1:6" ht="25.5" customHeight="1" x14ac:dyDescent="0.3">
      <c r="A324" s="57"/>
      <c r="B324" s="56" t="s">
        <v>583</v>
      </c>
      <c r="C324" s="61"/>
      <c r="D324" s="61">
        <v>6110</v>
      </c>
      <c r="E324" s="89"/>
      <c r="F324" s="61">
        <f t="shared" si="10"/>
        <v>6110</v>
      </c>
    </row>
    <row r="325" spans="1:6" ht="31.5" customHeight="1" x14ac:dyDescent="0.3">
      <c r="A325" s="57"/>
      <c r="B325" s="56" t="s">
        <v>716</v>
      </c>
      <c r="C325" s="61"/>
      <c r="D325" s="61">
        <v>5970</v>
      </c>
      <c r="E325" s="89"/>
      <c r="F325" s="61">
        <f t="shared" si="10"/>
        <v>5970</v>
      </c>
    </row>
    <row r="326" spans="1:6" ht="31.5" customHeight="1" x14ac:dyDescent="0.3">
      <c r="A326" s="57"/>
      <c r="B326" s="56" t="s">
        <v>717</v>
      </c>
      <c r="C326" s="61"/>
      <c r="D326" s="61">
        <v>780</v>
      </c>
      <c r="E326" s="89"/>
      <c r="F326" s="61">
        <f t="shared" si="10"/>
        <v>780</v>
      </c>
    </row>
    <row r="327" spans="1:6" ht="31.5" customHeight="1" x14ac:dyDescent="0.3">
      <c r="A327" s="57"/>
      <c r="B327" s="56" t="s">
        <v>382</v>
      </c>
      <c r="C327" s="61"/>
      <c r="D327" s="61">
        <v>2450</v>
      </c>
      <c r="E327" s="89"/>
      <c r="F327" s="61">
        <f t="shared" si="10"/>
        <v>2450</v>
      </c>
    </row>
    <row r="328" spans="1:6" ht="15" customHeight="1" x14ac:dyDescent="0.3">
      <c r="A328" s="57"/>
      <c r="B328" s="56" t="s">
        <v>584</v>
      </c>
      <c r="C328" s="61"/>
      <c r="D328" s="61">
        <v>21900</v>
      </c>
      <c r="E328" s="89"/>
      <c r="F328" s="61">
        <f t="shared" si="10"/>
        <v>21900</v>
      </c>
    </row>
    <row r="329" spans="1:6" ht="15" customHeight="1" x14ac:dyDescent="0.3">
      <c r="A329" s="57"/>
      <c r="B329" s="56" t="s">
        <v>585</v>
      </c>
      <c r="C329" s="61"/>
      <c r="D329" s="61">
        <v>6255</v>
      </c>
      <c r="E329" s="89"/>
      <c r="F329" s="61">
        <f t="shared" si="10"/>
        <v>6255</v>
      </c>
    </row>
    <row r="330" spans="1:6" ht="15" customHeight="1" x14ac:dyDescent="0.3">
      <c r="A330" s="57"/>
      <c r="B330" s="56" t="s">
        <v>586</v>
      </c>
      <c r="C330" s="61"/>
      <c r="D330" s="61">
        <v>11140</v>
      </c>
      <c r="E330" s="89"/>
      <c r="F330" s="61">
        <f t="shared" si="10"/>
        <v>11140</v>
      </c>
    </row>
    <row r="331" spans="1:6" ht="15" customHeight="1" x14ac:dyDescent="0.3">
      <c r="A331" s="57"/>
      <c r="B331" s="56" t="s">
        <v>587</v>
      </c>
      <c r="C331" s="61"/>
      <c r="D331" s="61">
        <v>5232</v>
      </c>
      <c r="E331" s="89"/>
      <c r="F331" s="61">
        <f t="shared" si="10"/>
        <v>5232</v>
      </c>
    </row>
    <row r="332" spans="1:6" ht="15" customHeight="1" x14ac:dyDescent="0.3">
      <c r="A332" s="58" t="s">
        <v>383</v>
      </c>
      <c r="B332" s="58" t="s">
        <v>384</v>
      </c>
      <c r="C332" s="60"/>
      <c r="D332" s="60">
        <f>SUM(D333:D337)</f>
        <v>4484</v>
      </c>
      <c r="E332" s="60">
        <f>SUM(E333:E337)</f>
        <v>0</v>
      </c>
      <c r="F332" s="60">
        <f t="shared" si="10"/>
        <v>4484</v>
      </c>
    </row>
    <row r="333" spans="1:6" ht="15" customHeight="1" x14ac:dyDescent="0.3">
      <c r="A333" s="57"/>
      <c r="B333" s="56" t="s">
        <v>12</v>
      </c>
      <c r="C333" s="61"/>
      <c r="D333" s="61">
        <v>1591</v>
      </c>
      <c r="E333" s="89"/>
      <c r="F333" s="61">
        <f t="shared" si="10"/>
        <v>1591</v>
      </c>
    </row>
    <row r="334" spans="1:6" ht="15" customHeight="1" x14ac:dyDescent="0.3">
      <c r="A334" s="57"/>
      <c r="B334" s="56" t="s">
        <v>13</v>
      </c>
      <c r="C334" s="61"/>
      <c r="D334" s="61">
        <v>2244</v>
      </c>
      <c r="E334" s="89"/>
      <c r="F334" s="61">
        <f t="shared" si="10"/>
        <v>2244</v>
      </c>
    </row>
    <row r="335" spans="1:6" ht="15" customHeight="1" x14ac:dyDescent="0.3">
      <c r="A335" s="57"/>
      <c r="B335" s="56" t="s">
        <v>15</v>
      </c>
      <c r="C335" s="61"/>
      <c r="D335" s="61">
        <v>115</v>
      </c>
      <c r="E335" s="89"/>
      <c r="F335" s="61">
        <f t="shared" si="10"/>
        <v>115</v>
      </c>
    </row>
    <row r="336" spans="1:6" ht="15" customHeight="1" x14ac:dyDescent="0.3">
      <c r="A336" s="57"/>
      <c r="B336" s="56" t="s">
        <v>16</v>
      </c>
      <c r="C336" s="61"/>
      <c r="D336" s="61">
        <v>469</v>
      </c>
      <c r="E336" s="89"/>
      <c r="F336" s="61">
        <f t="shared" si="10"/>
        <v>469</v>
      </c>
    </row>
    <row r="337" spans="1:6" ht="15" customHeight="1" x14ac:dyDescent="0.3">
      <c r="A337" s="57"/>
      <c r="B337" s="56" t="s">
        <v>18</v>
      </c>
      <c r="C337" s="61"/>
      <c r="D337" s="61">
        <v>65</v>
      </c>
      <c r="E337" s="89"/>
      <c r="F337" s="61">
        <f t="shared" si="10"/>
        <v>65</v>
      </c>
    </row>
    <row r="338" spans="1:6" s="54" customFormat="1" ht="15" customHeight="1" x14ac:dyDescent="0.3">
      <c r="A338" s="58" t="s">
        <v>385</v>
      </c>
      <c r="B338" s="59" t="s">
        <v>386</v>
      </c>
      <c r="C338" s="60"/>
      <c r="D338" s="60">
        <f>D339+D351+D352+D377</f>
        <v>453865</v>
      </c>
      <c r="E338" s="60">
        <f>E339+E351+E352+E377</f>
        <v>0</v>
      </c>
      <c r="F338" s="60">
        <f t="shared" ref="F338:F371" si="11">D338</f>
        <v>453865</v>
      </c>
    </row>
    <row r="339" spans="1:6" ht="15" customHeight="1" x14ac:dyDescent="0.3">
      <c r="A339" s="58" t="s">
        <v>387</v>
      </c>
      <c r="B339" s="59" t="s">
        <v>388</v>
      </c>
      <c r="C339" s="60"/>
      <c r="D339" s="60">
        <f>SUM(D340:D350)</f>
        <v>214816</v>
      </c>
      <c r="E339" s="60">
        <f>SUM(E340:E350)</f>
        <v>0</v>
      </c>
      <c r="F339" s="60">
        <f>D339</f>
        <v>214816</v>
      </c>
    </row>
    <row r="340" spans="1:6" ht="15" customHeight="1" x14ac:dyDescent="0.3">
      <c r="A340" s="57"/>
      <c r="B340" s="56" t="s">
        <v>61</v>
      </c>
      <c r="C340" s="61"/>
      <c r="D340" s="61">
        <v>45385</v>
      </c>
      <c r="E340" s="89"/>
      <c r="F340" s="61">
        <f t="shared" si="11"/>
        <v>45385</v>
      </c>
    </row>
    <row r="341" spans="1:6" ht="15" customHeight="1" x14ac:dyDescent="0.3">
      <c r="A341" s="57"/>
      <c r="B341" s="56" t="s">
        <v>93</v>
      </c>
      <c r="C341" s="61"/>
      <c r="D341" s="61">
        <v>10360</v>
      </c>
      <c r="E341" s="89"/>
      <c r="F341" s="61">
        <f t="shared" si="11"/>
        <v>10360</v>
      </c>
    </row>
    <row r="342" spans="1:6" ht="15" customHeight="1" x14ac:dyDescent="0.3">
      <c r="A342" s="57"/>
      <c r="B342" s="56" t="s">
        <v>145</v>
      </c>
      <c r="C342" s="61"/>
      <c r="D342" s="61">
        <v>11716</v>
      </c>
      <c r="E342" s="89"/>
      <c r="F342" s="61">
        <f t="shared" si="11"/>
        <v>11716</v>
      </c>
    </row>
    <row r="343" spans="1:6" ht="15" customHeight="1" x14ac:dyDescent="0.3">
      <c r="A343" s="57"/>
      <c r="B343" s="56" t="s">
        <v>529</v>
      </c>
      <c r="C343" s="61"/>
      <c r="D343" s="61">
        <v>4404</v>
      </c>
      <c r="E343" s="89"/>
      <c r="F343" s="61">
        <f t="shared" si="11"/>
        <v>4404</v>
      </c>
    </row>
    <row r="344" spans="1:6" ht="16.5" customHeight="1" x14ac:dyDescent="0.3">
      <c r="A344" s="57"/>
      <c r="B344" s="57" t="s">
        <v>90</v>
      </c>
      <c r="C344" s="61"/>
      <c r="D344" s="61">
        <v>4887</v>
      </c>
      <c r="E344" s="89"/>
      <c r="F344" s="61">
        <f t="shared" si="11"/>
        <v>4887</v>
      </c>
    </row>
    <row r="345" spans="1:6" ht="16.5" customHeight="1" x14ac:dyDescent="0.3">
      <c r="A345" s="57"/>
      <c r="B345" s="57" t="s">
        <v>31</v>
      </c>
      <c r="C345" s="61"/>
      <c r="D345" s="61">
        <v>42867</v>
      </c>
      <c r="E345" s="89"/>
      <c r="F345" s="61">
        <f t="shared" si="11"/>
        <v>42867</v>
      </c>
    </row>
    <row r="346" spans="1:6" ht="16.5" customHeight="1" x14ac:dyDescent="0.3">
      <c r="A346" s="57"/>
      <c r="B346" s="57" t="s">
        <v>92</v>
      </c>
      <c r="C346" s="61"/>
      <c r="D346" s="61">
        <v>5900</v>
      </c>
      <c r="E346" s="89"/>
      <c r="F346" s="61">
        <f t="shared" si="11"/>
        <v>5900</v>
      </c>
    </row>
    <row r="347" spans="1:6" ht="16.5" customHeight="1" x14ac:dyDescent="0.3">
      <c r="A347" s="57"/>
      <c r="B347" s="57" t="s">
        <v>41</v>
      </c>
      <c r="C347" s="61"/>
      <c r="D347" s="61">
        <v>31789</v>
      </c>
      <c r="E347" s="89"/>
      <c r="F347" s="61">
        <f t="shared" si="11"/>
        <v>31789</v>
      </c>
    </row>
    <row r="348" spans="1:6" ht="16.5" customHeight="1" x14ac:dyDescent="0.3">
      <c r="A348" s="57"/>
      <c r="B348" s="57" t="s">
        <v>488</v>
      </c>
      <c r="C348" s="61"/>
      <c r="D348" s="61">
        <v>23000</v>
      </c>
      <c r="E348" s="89"/>
      <c r="F348" s="61">
        <f t="shared" si="11"/>
        <v>23000</v>
      </c>
    </row>
    <row r="349" spans="1:6" ht="15" customHeight="1" x14ac:dyDescent="0.3">
      <c r="A349" s="57"/>
      <c r="B349" s="57" t="s">
        <v>87</v>
      </c>
      <c r="C349" s="61"/>
      <c r="D349" s="61">
        <v>13167</v>
      </c>
      <c r="E349" s="89"/>
      <c r="F349" s="61">
        <f t="shared" si="11"/>
        <v>13167</v>
      </c>
    </row>
    <row r="350" spans="1:6" ht="15" customHeight="1" x14ac:dyDescent="0.3">
      <c r="A350" s="57"/>
      <c r="B350" s="57" t="s">
        <v>94</v>
      </c>
      <c r="C350" s="61"/>
      <c r="D350" s="61">
        <v>21341</v>
      </c>
      <c r="E350" s="89"/>
      <c r="F350" s="61">
        <f t="shared" si="11"/>
        <v>21341</v>
      </c>
    </row>
    <row r="351" spans="1:6" ht="15" customHeight="1" x14ac:dyDescent="0.3">
      <c r="A351" s="58" t="s">
        <v>389</v>
      </c>
      <c r="B351" s="59" t="s">
        <v>390</v>
      </c>
      <c r="C351" s="60"/>
      <c r="D351" s="60">
        <v>105676</v>
      </c>
      <c r="E351" s="88"/>
      <c r="F351" s="60">
        <f t="shared" si="11"/>
        <v>105676</v>
      </c>
    </row>
    <row r="352" spans="1:6" ht="15" customHeight="1" x14ac:dyDescent="0.3">
      <c r="A352" s="58" t="s">
        <v>391</v>
      </c>
      <c r="B352" s="58" t="s">
        <v>392</v>
      </c>
      <c r="C352" s="60"/>
      <c r="D352" s="60">
        <f>SUM(D353:D376)</f>
        <v>76980</v>
      </c>
      <c r="E352" s="60">
        <f>SUM(E353:E376)</f>
        <v>0</v>
      </c>
      <c r="F352" s="60">
        <f>D352</f>
        <v>76980</v>
      </c>
    </row>
    <row r="353" spans="1:6" ht="21" customHeight="1" x14ac:dyDescent="0.3">
      <c r="A353" s="57"/>
      <c r="B353" s="57" t="s">
        <v>106</v>
      </c>
      <c r="C353" s="61"/>
      <c r="D353" s="61">
        <v>21000</v>
      </c>
      <c r="E353" s="89"/>
      <c r="F353" s="61">
        <f t="shared" si="11"/>
        <v>21000</v>
      </c>
    </row>
    <row r="354" spans="1:6" ht="19.5" customHeight="1" x14ac:dyDescent="0.3">
      <c r="A354" s="57"/>
      <c r="B354" s="57" t="s">
        <v>5</v>
      </c>
      <c r="C354" s="61"/>
      <c r="D354" s="61">
        <v>1300</v>
      </c>
      <c r="E354" s="89"/>
      <c r="F354" s="61">
        <f t="shared" si="11"/>
        <v>1300</v>
      </c>
    </row>
    <row r="355" spans="1:6" ht="21" customHeight="1" x14ac:dyDescent="0.3">
      <c r="A355" s="57"/>
      <c r="B355" s="57" t="s">
        <v>393</v>
      </c>
      <c r="C355" s="61"/>
      <c r="D355" s="61">
        <v>34000</v>
      </c>
      <c r="E355" s="89"/>
      <c r="F355" s="61">
        <f t="shared" si="11"/>
        <v>34000</v>
      </c>
    </row>
    <row r="356" spans="1:6" ht="15" customHeight="1" x14ac:dyDescent="0.3">
      <c r="A356" s="57"/>
      <c r="B356" s="63" t="s">
        <v>510</v>
      </c>
      <c r="C356" s="61"/>
      <c r="D356" s="61">
        <v>600</v>
      </c>
      <c r="E356" s="89"/>
      <c r="F356" s="61">
        <f t="shared" si="11"/>
        <v>600</v>
      </c>
    </row>
    <row r="357" spans="1:6" ht="19.5" customHeight="1" x14ac:dyDescent="0.3">
      <c r="A357" s="57"/>
      <c r="B357" s="56" t="s">
        <v>520</v>
      </c>
      <c r="C357" s="61"/>
      <c r="D357" s="61">
        <v>1300</v>
      </c>
      <c r="E357" s="89"/>
      <c r="F357" s="61">
        <f t="shared" si="11"/>
        <v>1300</v>
      </c>
    </row>
    <row r="358" spans="1:6" ht="18.75" customHeight="1" x14ac:dyDescent="0.3">
      <c r="A358" s="57"/>
      <c r="B358" s="57" t="s">
        <v>550</v>
      </c>
      <c r="C358" s="61"/>
      <c r="D358" s="61">
        <v>225</v>
      </c>
      <c r="E358" s="89"/>
      <c r="F358" s="61">
        <f t="shared" si="11"/>
        <v>225</v>
      </c>
    </row>
    <row r="359" spans="1:6" ht="19.5" customHeight="1" x14ac:dyDescent="0.3">
      <c r="A359" s="57"/>
      <c r="B359" s="63" t="s">
        <v>76</v>
      </c>
      <c r="C359" s="61"/>
      <c r="D359" s="61">
        <v>1400</v>
      </c>
      <c r="E359" s="89"/>
      <c r="F359" s="61">
        <f t="shared" si="11"/>
        <v>1400</v>
      </c>
    </row>
    <row r="360" spans="1:6" ht="21.75" customHeight="1" x14ac:dyDescent="0.3">
      <c r="A360" s="57"/>
      <c r="B360" s="57" t="s">
        <v>495</v>
      </c>
      <c r="C360" s="61"/>
      <c r="D360" s="61">
        <v>1500</v>
      </c>
      <c r="E360" s="89"/>
      <c r="F360" s="61">
        <f t="shared" si="11"/>
        <v>1500</v>
      </c>
    </row>
    <row r="361" spans="1:6" ht="17.25" customHeight="1" x14ac:dyDescent="0.3">
      <c r="A361" s="57"/>
      <c r="B361" s="57" t="s">
        <v>511</v>
      </c>
      <c r="C361" s="61"/>
      <c r="D361" s="61">
        <v>3000</v>
      </c>
      <c r="E361" s="89"/>
      <c r="F361" s="61">
        <f t="shared" si="11"/>
        <v>3000</v>
      </c>
    </row>
    <row r="362" spans="1:6" ht="22.5" customHeight="1" x14ac:dyDescent="0.3">
      <c r="A362" s="57"/>
      <c r="B362" s="56" t="s">
        <v>512</v>
      </c>
      <c r="C362" s="61"/>
      <c r="D362" s="61">
        <v>400</v>
      </c>
      <c r="E362" s="89"/>
      <c r="F362" s="61">
        <f t="shared" si="11"/>
        <v>400</v>
      </c>
    </row>
    <row r="363" spans="1:6" ht="21.75" customHeight="1" x14ac:dyDescent="0.3">
      <c r="A363" s="57"/>
      <c r="B363" s="63" t="s">
        <v>503</v>
      </c>
      <c r="C363" s="61"/>
      <c r="D363" s="61">
        <v>100</v>
      </c>
      <c r="E363" s="89"/>
      <c r="F363" s="61">
        <f t="shared" si="11"/>
        <v>100</v>
      </c>
    </row>
    <row r="364" spans="1:6" ht="18.75" customHeight="1" x14ac:dyDescent="0.3">
      <c r="A364" s="57"/>
      <c r="B364" s="57" t="s">
        <v>517</v>
      </c>
      <c r="C364" s="61"/>
      <c r="D364" s="61">
        <v>300</v>
      </c>
      <c r="E364" s="89"/>
      <c r="F364" s="61">
        <f t="shared" si="11"/>
        <v>300</v>
      </c>
    </row>
    <row r="365" spans="1:6" ht="19.5" customHeight="1" x14ac:dyDescent="0.3">
      <c r="A365" s="57"/>
      <c r="B365" s="63" t="s">
        <v>516</v>
      </c>
      <c r="C365" s="61"/>
      <c r="D365" s="61">
        <v>475</v>
      </c>
      <c r="E365" s="89"/>
      <c r="F365" s="61">
        <f t="shared" si="11"/>
        <v>475</v>
      </c>
    </row>
    <row r="366" spans="1:6" ht="15.6" x14ac:dyDescent="0.3">
      <c r="A366" s="57"/>
      <c r="B366" s="56" t="s">
        <v>483</v>
      </c>
      <c r="C366" s="61"/>
      <c r="D366" s="61">
        <v>500</v>
      </c>
      <c r="E366" s="89"/>
      <c r="F366" s="61">
        <f t="shared" si="11"/>
        <v>500</v>
      </c>
    </row>
    <row r="367" spans="1:6" ht="20.25" customHeight="1" x14ac:dyDescent="0.3">
      <c r="A367" s="57"/>
      <c r="B367" s="56" t="s">
        <v>62</v>
      </c>
      <c r="C367" s="61"/>
      <c r="D367" s="61">
        <v>1140</v>
      </c>
      <c r="E367" s="89"/>
      <c r="F367" s="61">
        <f t="shared" si="11"/>
        <v>1140</v>
      </c>
    </row>
    <row r="368" spans="1:6" ht="23.25" customHeight="1" x14ac:dyDescent="0.3">
      <c r="A368" s="57"/>
      <c r="B368" s="56" t="s">
        <v>513</v>
      </c>
      <c r="C368" s="61"/>
      <c r="D368" s="61">
        <v>1700</v>
      </c>
      <c r="E368" s="89"/>
      <c r="F368" s="61">
        <f t="shared" si="11"/>
        <v>1700</v>
      </c>
    </row>
    <row r="369" spans="1:6" ht="21.75" customHeight="1" x14ac:dyDescent="0.3">
      <c r="A369" s="57"/>
      <c r="B369" s="56" t="s">
        <v>514</v>
      </c>
      <c r="C369" s="61"/>
      <c r="D369" s="61">
        <v>900</v>
      </c>
      <c r="E369" s="89"/>
      <c r="F369" s="61">
        <f t="shared" si="11"/>
        <v>900</v>
      </c>
    </row>
    <row r="370" spans="1:6" ht="24.75" customHeight="1" x14ac:dyDescent="0.3">
      <c r="A370" s="57"/>
      <c r="B370" s="56" t="s">
        <v>631</v>
      </c>
      <c r="C370" s="61"/>
      <c r="D370" s="61">
        <v>1000</v>
      </c>
      <c r="E370" s="89"/>
      <c r="F370" s="61">
        <f t="shared" si="11"/>
        <v>1000</v>
      </c>
    </row>
    <row r="371" spans="1:6" ht="21.75" customHeight="1" x14ac:dyDescent="0.3">
      <c r="A371" s="57"/>
      <c r="B371" s="56" t="s">
        <v>41</v>
      </c>
      <c r="C371" s="61"/>
      <c r="D371" s="61">
        <v>2000</v>
      </c>
      <c r="E371" s="89"/>
      <c r="F371" s="61">
        <f t="shared" si="11"/>
        <v>2000</v>
      </c>
    </row>
    <row r="372" spans="1:6" ht="19.5" customHeight="1" x14ac:dyDescent="0.3">
      <c r="A372" s="57"/>
      <c r="B372" s="56" t="s">
        <v>94</v>
      </c>
      <c r="C372" s="61"/>
      <c r="D372" s="61">
        <v>40</v>
      </c>
      <c r="E372" s="89"/>
      <c r="F372" s="61">
        <f t="shared" ref="F372:F397" si="12">D372</f>
        <v>40</v>
      </c>
    </row>
    <row r="373" spans="1:6" ht="15.6" x14ac:dyDescent="0.3">
      <c r="A373" s="57"/>
      <c r="B373" s="63" t="s">
        <v>515</v>
      </c>
      <c r="C373" s="61"/>
      <c r="D373" s="61">
        <v>1000</v>
      </c>
      <c r="E373" s="89"/>
      <c r="F373" s="61">
        <f t="shared" si="12"/>
        <v>1000</v>
      </c>
    </row>
    <row r="374" spans="1:6" ht="18" customHeight="1" x14ac:dyDescent="0.3">
      <c r="A374" s="57"/>
      <c r="B374" s="56" t="s">
        <v>551</v>
      </c>
      <c r="C374" s="61"/>
      <c r="D374" s="61">
        <v>2400</v>
      </c>
      <c r="E374" s="89"/>
      <c r="F374" s="61">
        <f t="shared" si="12"/>
        <v>2400</v>
      </c>
    </row>
    <row r="375" spans="1:6" ht="19.5" customHeight="1" x14ac:dyDescent="0.3">
      <c r="A375" s="57"/>
      <c r="B375" s="56" t="s">
        <v>498</v>
      </c>
      <c r="C375" s="61"/>
      <c r="D375" s="61">
        <v>300</v>
      </c>
      <c r="E375" s="89"/>
      <c r="F375" s="61">
        <f t="shared" si="12"/>
        <v>300</v>
      </c>
    </row>
    <row r="376" spans="1:6" ht="17.25" customHeight="1" x14ac:dyDescent="0.3">
      <c r="A376" s="57"/>
      <c r="B376" s="56" t="s">
        <v>145</v>
      </c>
      <c r="C376" s="61"/>
      <c r="D376" s="61">
        <v>400</v>
      </c>
      <c r="E376" s="89"/>
      <c r="F376" s="61">
        <f t="shared" si="12"/>
        <v>400</v>
      </c>
    </row>
    <row r="377" spans="1:6" ht="15" customHeight="1" x14ac:dyDescent="0.3">
      <c r="A377" s="58" t="s">
        <v>394</v>
      </c>
      <c r="B377" s="58" t="s">
        <v>395</v>
      </c>
      <c r="C377" s="60"/>
      <c r="D377" s="60">
        <f>SUM(D378:D394)</f>
        <v>56393</v>
      </c>
      <c r="E377" s="60">
        <f>SUM(E378:E394)</f>
        <v>0</v>
      </c>
      <c r="F377" s="60">
        <f t="shared" si="12"/>
        <v>56393</v>
      </c>
    </row>
    <row r="378" spans="1:6" ht="15" customHeight="1" x14ac:dyDescent="0.3">
      <c r="A378" s="57"/>
      <c r="B378" s="57" t="s">
        <v>27</v>
      </c>
      <c r="C378" s="61"/>
      <c r="D378" s="61">
        <v>2200</v>
      </c>
      <c r="E378" s="89"/>
      <c r="F378" s="61">
        <f t="shared" si="12"/>
        <v>2200</v>
      </c>
    </row>
    <row r="379" spans="1:6" ht="15" customHeight="1" x14ac:dyDescent="0.3">
      <c r="A379" s="57"/>
      <c r="B379" s="57" t="s">
        <v>28</v>
      </c>
      <c r="C379" s="61"/>
      <c r="D379" s="61">
        <v>2600</v>
      </c>
      <c r="E379" s="89"/>
      <c r="F379" s="61">
        <f t="shared" si="12"/>
        <v>2600</v>
      </c>
    </row>
    <row r="380" spans="1:6" ht="15" customHeight="1" x14ac:dyDescent="0.3">
      <c r="A380" s="57"/>
      <c r="B380" s="57" t="s">
        <v>472</v>
      </c>
      <c r="C380" s="61"/>
      <c r="D380" s="61">
        <v>1875</v>
      </c>
      <c r="E380" s="89"/>
      <c r="F380" s="61">
        <f t="shared" si="12"/>
        <v>1875</v>
      </c>
    </row>
    <row r="381" spans="1:6" ht="15" customHeight="1" x14ac:dyDescent="0.3">
      <c r="A381" s="57"/>
      <c r="B381" s="57" t="s">
        <v>396</v>
      </c>
      <c r="C381" s="61"/>
      <c r="D381" s="61">
        <v>1215</v>
      </c>
      <c r="E381" s="89"/>
      <c r="F381" s="61">
        <f t="shared" si="12"/>
        <v>1215</v>
      </c>
    </row>
    <row r="382" spans="1:6" ht="15" customHeight="1" x14ac:dyDescent="0.3">
      <c r="A382" s="57"/>
      <c r="B382" s="57" t="s">
        <v>342</v>
      </c>
      <c r="C382" s="61"/>
      <c r="D382" s="61">
        <v>1300</v>
      </c>
      <c r="E382" s="89"/>
      <c r="F382" s="61">
        <f t="shared" si="12"/>
        <v>1300</v>
      </c>
    </row>
    <row r="383" spans="1:6" ht="15" customHeight="1" x14ac:dyDescent="0.3">
      <c r="A383" s="57"/>
      <c r="B383" s="57" t="s">
        <v>93</v>
      </c>
      <c r="C383" s="61"/>
      <c r="D383" s="61">
        <v>764</v>
      </c>
      <c r="E383" s="89"/>
      <c r="F383" s="61">
        <f t="shared" si="12"/>
        <v>764</v>
      </c>
    </row>
    <row r="384" spans="1:6" ht="15" customHeight="1" x14ac:dyDescent="0.3">
      <c r="A384" s="57"/>
      <c r="B384" s="57" t="s">
        <v>90</v>
      </c>
      <c r="C384" s="61"/>
      <c r="D384" s="61">
        <v>4000</v>
      </c>
      <c r="E384" s="89"/>
      <c r="F384" s="61">
        <f t="shared" si="12"/>
        <v>4000</v>
      </c>
    </row>
    <row r="385" spans="1:6" ht="15" customHeight="1" x14ac:dyDescent="0.3">
      <c r="A385" s="57"/>
      <c r="B385" s="57" t="s">
        <v>30</v>
      </c>
      <c r="C385" s="61"/>
      <c r="D385" s="61">
        <v>3819</v>
      </c>
      <c r="E385" s="89"/>
      <c r="F385" s="61">
        <f t="shared" si="12"/>
        <v>3819</v>
      </c>
    </row>
    <row r="386" spans="1:6" ht="15" customHeight="1" x14ac:dyDescent="0.3">
      <c r="A386" s="57"/>
      <c r="B386" s="57" t="s">
        <v>145</v>
      </c>
      <c r="C386" s="61"/>
      <c r="D386" s="61">
        <v>8841</v>
      </c>
      <c r="E386" s="89"/>
      <c r="F386" s="61">
        <f t="shared" si="12"/>
        <v>8841</v>
      </c>
    </row>
    <row r="387" spans="1:6" ht="19.5" customHeight="1" x14ac:dyDescent="0.3">
      <c r="A387" s="57"/>
      <c r="B387" s="57" t="s">
        <v>484</v>
      </c>
      <c r="C387" s="61"/>
      <c r="D387" s="61">
        <v>1285</v>
      </c>
      <c r="E387" s="89"/>
      <c r="F387" s="61">
        <f t="shared" si="12"/>
        <v>1285</v>
      </c>
    </row>
    <row r="388" spans="1:6" ht="15" customHeight="1" x14ac:dyDescent="0.3">
      <c r="A388" s="57"/>
      <c r="B388" s="57" t="s">
        <v>92</v>
      </c>
      <c r="C388" s="61"/>
      <c r="D388" s="61">
        <v>4100</v>
      </c>
      <c r="E388" s="89"/>
      <c r="F388" s="61">
        <f t="shared" si="12"/>
        <v>4100</v>
      </c>
    </row>
    <row r="389" spans="1:6" ht="15" customHeight="1" x14ac:dyDescent="0.3">
      <c r="A389" s="57"/>
      <c r="B389" s="57" t="s">
        <v>87</v>
      </c>
      <c r="C389" s="61"/>
      <c r="D389" s="61">
        <v>5900</v>
      </c>
      <c r="E389" s="89"/>
      <c r="F389" s="61">
        <f t="shared" si="12"/>
        <v>5900</v>
      </c>
    </row>
    <row r="390" spans="1:6" ht="15" customHeight="1" x14ac:dyDescent="0.3">
      <c r="A390" s="57"/>
      <c r="B390" s="57" t="s">
        <v>94</v>
      </c>
      <c r="C390" s="61"/>
      <c r="D390" s="61">
        <v>5000</v>
      </c>
      <c r="E390" s="89"/>
      <c r="F390" s="61">
        <f t="shared" si="12"/>
        <v>5000</v>
      </c>
    </row>
    <row r="391" spans="1:6" ht="21" customHeight="1" x14ac:dyDescent="0.3">
      <c r="A391" s="57"/>
      <c r="B391" s="57" t="s">
        <v>488</v>
      </c>
      <c r="C391" s="61"/>
      <c r="D391" s="61">
        <v>9000</v>
      </c>
      <c r="E391" s="89"/>
      <c r="F391" s="61">
        <f t="shared" si="12"/>
        <v>9000</v>
      </c>
    </row>
    <row r="392" spans="1:6" ht="15.6" x14ac:dyDescent="0.3">
      <c r="A392" s="57"/>
      <c r="B392" s="57" t="s">
        <v>330</v>
      </c>
      <c r="C392" s="61"/>
      <c r="D392" s="61">
        <v>1344</v>
      </c>
      <c r="E392" s="89"/>
      <c r="F392" s="61">
        <f t="shared" si="12"/>
        <v>1344</v>
      </c>
    </row>
    <row r="393" spans="1:6" ht="15.6" x14ac:dyDescent="0.3">
      <c r="A393" s="57"/>
      <c r="B393" s="63" t="s">
        <v>70</v>
      </c>
      <c r="C393" s="61"/>
      <c r="D393" s="61">
        <v>1500</v>
      </c>
      <c r="E393" s="89"/>
      <c r="F393" s="61">
        <f t="shared" si="12"/>
        <v>1500</v>
      </c>
    </row>
    <row r="394" spans="1:6" ht="15.6" x14ac:dyDescent="0.3">
      <c r="A394" s="57"/>
      <c r="B394" s="56" t="s">
        <v>71</v>
      </c>
      <c r="C394" s="61"/>
      <c r="D394" s="61">
        <v>1650</v>
      </c>
      <c r="E394" s="89"/>
      <c r="F394" s="61">
        <f t="shared" si="12"/>
        <v>1650</v>
      </c>
    </row>
    <row r="395" spans="1:6" ht="46.8" x14ac:dyDescent="0.3">
      <c r="A395" s="58" t="s">
        <v>397</v>
      </c>
      <c r="B395" s="59" t="s">
        <v>711</v>
      </c>
      <c r="C395" s="60"/>
      <c r="D395" s="60">
        <f>D396</f>
        <v>5000</v>
      </c>
      <c r="E395" s="89"/>
      <c r="F395" s="60">
        <f t="shared" si="12"/>
        <v>5000</v>
      </c>
    </row>
    <row r="396" spans="1:6" ht="31.2" x14ac:dyDescent="0.3">
      <c r="A396" s="58" t="s">
        <v>398</v>
      </c>
      <c r="B396" s="59" t="s">
        <v>399</v>
      </c>
      <c r="C396" s="60"/>
      <c r="D396" s="60">
        <f>SUM(D397:D397)</f>
        <v>5000</v>
      </c>
      <c r="E396" s="88"/>
      <c r="F396" s="60">
        <f t="shared" si="12"/>
        <v>5000</v>
      </c>
    </row>
    <row r="397" spans="1:6" ht="15.6" x14ac:dyDescent="0.3">
      <c r="A397" s="57"/>
      <c r="B397" s="56" t="s">
        <v>718</v>
      </c>
      <c r="C397" s="61"/>
      <c r="D397" s="61">
        <v>5000</v>
      </c>
      <c r="E397" s="89"/>
      <c r="F397" s="61">
        <f t="shared" si="12"/>
        <v>5000</v>
      </c>
    </row>
    <row r="399" spans="1:6" ht="14.4" customHeight="1" x14ac:dyDescent="0.35">
      <c r="A399" s="200" t="s">
        <v>710</v>
      </c>
      <c r="B399" s="200"/>
      <c r="C399" s="200"/>
      <c r="D399" s="200"/>
      <c r="E399" s="200"/>
      <c r="F399" s="200"/>
    </row>
    <row r="403" spans="7:7" x14ac:dyDescent="0.3">
      <c r="G403" s="194"/>
    </row>
  </sheetData>
  <mergeCells count="5">
    <mergeCell ref="A10:A11"/>
    <mergeCell ref="B10:B11"/>
    <mergeCell ref="F10:F11"/>
    <mergeCell ref="C10:E10"/>
    <mergeCell ref="A399:F399"/>
  </mergeCells>
  <pageMargins left="0.7" right="0.7" top="0.75" bottom="0.75" header="0.3" footer="0.3"/>
  <pageSetup paperSize="9" scale="4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33"/>
  <sheetViews>
    <sheetView workbookViewId="0">
      <pane xSplit="2" ySplit="10" topLeftCell="C308" activePane="bottomRight" state="frozen"/>
      <selection pane="topRight" activeCell="C1" sqref="C1"/>
      <selection pane="bottomLeft" activeCell="A11" sqref="A11"/>
      <selection pane="bottomRight" activeCell="A313" sqref="A313:H313"/>
    </sheetView>
  </sheetViews>
  <sheetFormatPr defaultRowHeight="15.6" x14ac:dyDescent="0.3"/>
  <cols>
    <col min="1" max="1" width="14.44140625" customWidth="1"/>
    <col min="2" max="2" width="38.88671875" style="74" customWidth="1"/>
    <col min="3" max="3" width="18.33203125" style="131" customWidth="1"/>
    <col min="4" max="4" width="18.5546875" style="68" customWidth="1"/>
    <col min="5" max="5" width="15.6640625" style="68" customWidth="1"/>
    <col min="6" max="6" width="18.33203125" style="68" customWidth="1"/>
    <col min="7" max="7" width="17.33203125" style="68" customWidth="1"/>
    <col min="8" max="8" width="17.6640625" style="68" customWidth="1"/>
    <col min="9" max="9" width="12.44140625" customWidth="1"/>
    <col min="10" max="10" width="10.109375" bestFit="1" customWidth="1"/>
  </cols>
  <sheetData>
    <row r="1" spans="1:10" ht="9.75" customHeight="1" x14ac:dyDescent="0.3">
      <c r="A1" s="7"/>
      <c r="B1" s="118"/>
      <c r="C1" s="70"/>
      <c r="D1" s="70"/>
      <c r="E1" s="70"/>
      <c r="F1" s="70"/>
      <c r="G1" s="70"/>
      <c r="H1" s="69"/>
    </row>
    <row r="2" spans="1:10" ht="16.5" customHeight="1" x14ac:dyDescent="0.3">
      <c r="A2" s="7"/>
      <c r="B2" s="118"/>
      <c r="C2" s="70"/>
      <c r="D2" s="70"/>
      <c r="E2" s="70"/>
      <c r="F2" s="70"/>
      <c r="G2" s="70"/>
      <c r="H2" s="69" t="s">
        <v>732</v>
      </c>
    </row>
    <row r="3" spans="1:10" ht="15" customHeight="1" x14ac:dyDescent="0.3">
      <c r="A3" s="7"/>
      <c r="B3" s="118"/>
      <c r="C3" s="70"/>
      <c r="D3" s="70"/>
      <c r="E3" s="70"/>
      <c r="F3" s="70"/>
      <c r="G3" s="70"/>
      <c r="H3" s="69" t="s">
        <v>523</v>
      </c>
    </row>
    <row r="4" spans="1:10" ht="15" customHeight="1" x14ac:dyDescent="0.3">
      <c r="A4" s="7"/>
      <c r="B4" s="118"/>
      <c r="C4" s="70"/>
      <c r="D4" s="70"/>
      <c r="E4" s="70"/>
      <c r="F4" s="70"/>
      <c r="G4" s="70"/>
      <c r="H4" s="69" t="s">
        <v>708</v>
      </c>
    </row>
    <row r="5" spans="1:10" ht="15" customHeight="1" x14ac:dyDescent="0.3">
      <c r="A5" s="7"/>
      <c r="B5" s="118"/>
      <c r="C5" s="70"/>
      <c r="D5" s="70"/>
      <c r="E5" s="70"/>
      <c r="F5" s="70"/>
      <c r="G5" s="70"/>
      <c r="H5" s="69" t="s">
        <v>704</v>
      </c>
    </row>
    <row r="6" spans="1:10" ht="15" customHeight="1" x14ac:dyDescent="0.3">
      <c r="A6" s="6"/>
      <c r="B6" s="173"/>
      <c r="C6" s="87"/>
      <c r="D6" s="87"/>
      <c r="E6" s="87"/>
      <c r="F6" s="87"/>
      <c r="G6" s="87"/>
      <c r="H6" s="70"/>
    </row>
    <row r="7" spans="1:10" ht="15" customHeight="1" x14ac:dyDescent="0.3">
      <c r="A7" s="7"/>
      <c r="B7" s="174"/>
      <c r="C7" s="114" t="s">
        <v>733</v>
      </c>
      <c r="D7" s="114"/>
      <c r="E7" s="114"/>
      <c r="F7" s="114"/>
      <c r="G7" s="114"/>
      <c r="H7" s="70"/>
    </row>
    <row r="8" spans="1:10" ht="15" customHeight="1" x14ac:dyDescent="0.3">
      <c r="A8" s="7"/>
      <c r="B8" s="119"/>
      <c r="C8" s="125"/>
      <c r="D8" s="115"/>
      <c r="E8" s="115"/>
      <c r="F8" s="115"/>
      <c r="G8" s="115"/>
      <c r="H8" s="71"/>
    </row>
    <row r="9" spans="1:10" ht="15" customHeight="1" x14ac:dyDescent="0.3">
      <c r="A9" s="202" t="s">
        <v>149</v>
      </c>
      <c r="B9" s="199" t="s">
        <v>150</v>
      </c>
      <c r="C9" s="126"/>
      <c r="D9" s="127" t="s">
        <v>151</v>
      </c>
      <c r="E9" s="116"/>
      <c r="F9" s="116"/>
      <c r="G9" s="128"/>
      <c r="H9" s="201" t="s">
        <v>152</v>
      </c>
    </row>
    <row r="10" spans="1:10" ht="45" customHeight="1" x14ac:dyDescent="0.3">
      <c r="A10" s="203"/>
      <c r="B10" s="199"/>
      <c r="C10" s="117" t="s">
        <v>469</v>
      </c>
      <c r="D10" s="117" t="s">
        <v>153</v>
      </c>
      <c r="E10" s="117" t="s">
        <v>154</v>
      </c>
      <c r="F10" s="117" t="s">
        <v>155</v>
      </c>
      <c r="G10" s="117" t="s">
        <v>156</v>
      </c>
      <c r="H10" s="201"/>
    </row>
    <row r="11" spans="1:10" ht="15" customHeight="1" x14ac:dyDescent="0.3">
      <c r="A11" s="5"/>
      <c r="B11" s="2"/>
      <c r="C11" s="178">
        <f t="shared" ref="C11:H11" si="0">C12+C27+C31+C92+C172+C183+C225+C294+C67</f>
        <v>1344827</v>
      </c>
      <c r="D11" s="178">
        <f t="shared" si="0"/>
        <v>21216458</v>
      </c>
      <c r="E11" s="178">
        <f t="shared" si="0"/>
        <v>3643851</v>
      </c>
      <c r="F11" s="178">
        <f t="shared" si="0"/>
        <v>13848402</v>
      </c>
      <c r="G11" s="178">
        <f t="shared" si="0"/>
        <v>1775293</v>
      </c>
      <c r="H11" s="148">
        <f t="shared" si="0"/>
        <v>41957831</v>
      </c>
      <c r="I11" s="46"/>
      <c r="J11" s="86"/>
    </row>
    <row r="12" spans="1:10" ht="15" customHeight="1" x14ac:dyDescent="0.3">
      <c r="A12" s="4" t="s">
        <v>157</v>
      </c>
      <c r="B12" s="58" t="s">
        <v>158</v>
      </c>
      <c r="C12" s="60">
        <f>SUM(C13:C26)</f>
        <v>0</v>
      </c>
      <c r="D12" s="60">
        <f t="shared" ref="D12:G12" si="1">SUM(D13:D26)</f>
        <v>3249451</v>
      </c>
      <c r="E12" s="60">
        <f t="shared" si="1"/>
        <v>7750</v>
      </c>
      <c r="F12" s="60">
        <f t="shared" si="1"/>
        <v>27500</v>
      </c>
      <c r="G12" s="60">
        <f t="shared" si="1"/>
        <v>0</v>
      </c>
      <c r="H12" s="148">
        <f>SUM(H13:H26)</f>
        <v>3284701</v>
      </c>
      <c r="I12" s="46"/>
    </row>
    <row r="13" spans="1:10" ht="15" customHeight="1" x14ac:dyDescent="0.3">
      <c r="A13" s="38"/>
      <c r="B13" s="57" t="s">
        <v>1</v>
      </c>
      <c r="C13" s="80"/>
      <c r="D13" s="61">
        <f>H13-E13-G13-F13-C13</f>
        <v>1494473</v>
      </c>
      <c r="E13" s="61"/>
      <c r="F13" s="61"/>
      <c r="G13" s="61"/>
      <c r="H13" s="148">
        <f>'4.pielikums'!B13</f>
        <v>1494473</v>
      </c>
      <c r="I13" s="46"/>
    </row>
    <row r="14" spans="1:10" ht="15" customHeight="1" x14ac:dyDescent="0.3">
      <c r="A14" s="38"/>
      <c r="B14" s="57" t="s">
        <v>2</v>
      </c>
      <c r="C14" s="80"/>
      <c r="D14" s="61">
        <f>H14-E14-G14-F14-C14</f>
        <v>186403</v>
      </c>
      <c r="E14" s="61"/>
      <c r="F14" s="61"/>
      <c r="G14" s="61"/>
      <c r="H14" s="148">
        <f>'4.pielikums'!B14</f>
        <v>186403</v>
      </c>
      <c r="I14" s="46"/>
    </row>
    <row r="15" spans="1:10" ht="30" customHeight="1" x14ac:dyDescent="0.3">
      <c r="A15" s="38"/>
      <c r="B15" s="56" t="s">
        <v>98</v>
      </c>
      <c r="C15" s="93"/>
      <c r="D15" s="61">
        <f t="shared" ref="D15:D26" si="2">H15-E15-G15-F15-C15</f>
        <v>261850</v>
      </c>
      <c r="E15" s="61"/>
      <c r="F15" s="61"/>
      <c r="G15" s="61"/>
      <c r="H15" s="148">
        <f>'4.pielikums'!B15</f>
        <v>261850</v>
      </c>
      <c r="I15" s="46"/>
    </row>
    <row r="16" spans="1:10" ht="15" customHeight="1" x14ac:dyDescent="0.3">
      <c r="A16" s="38"/>
      <c r="B16" s="56" t="s">
        <v>128</v>
      </c>
      <c r="C16" s="93"/>
      <c r="D16" s="61">
        <f t="shared" si="2"/>
        <v>26400</v>
      </c>
      <c r="E16" s="61"/>
      <c r="F16" s="61"/>
      <c r="G16" s="61"/>
      <c r="H16" s="148">
        <f>'4.pielikums'!B16</f>
        <v>26400</v>
      </c>
      <c r="I16" s="46"/>
    </row>
    <row r="17" spans="1:9" ht="31.5" customHeight="1" x14ac:dyDescent="0.3">
      <c r="A17" s="38"/>
      <c r="B17" s="56" t="s">
        <v>591</v>
      </c>
      <c r="C17" s="93"/>
      <c r="D17" s="61">
        <f t="shared" si="2"/>
        <v>80000</v>
      </c>
      <c r="E17" s="61"/>
      <c r="F17" s="61"/>
      <c r="G17" s="61"/>
      <c r="H17" s="148">
        <f>'4.pielikums'!B17</f>
        <v>80000</v>
      </c>
      <c r="I17" s="46"/>
    </row>
    <row r="18" spans="1:9" ht="15" customHeight="1" x14ac:dyDescent="0.3">
      <c r="A18" s="38"/>
      <c r="B18" s="56" t="s">
        <v>538</v>
      </c>
      <c r="C18" s="93"/>
      <c r="D18" s="61">
        <f t="shared" si="2"/>
        <v>142262</v>
      </c>
      <c r="E18" s="61"/>
      <c r="F18" s="61"/>
      <c r="G18" s="61"/>
      <c r="H18" s="148">
        <f>'4.pielikums'!B19</f>
        <v>142262</v>
      </c>
      <c r="I18" s="46"/>
    </row>
    <row r="19" spans="1:9" ht="15" customHeight="1" x14ac:dyDescent="0.3">
      <c r="A19" s="38"/>
      <c r="B19" s="57" t="s">
        <v>539</v>
      </c>
      <c r="C19" s="80"/>
      <c r="D19" s="61">
        <f t="shared" si="2"/>
        <v>130285</v>
      </c>
      <c r="E19" s="61"/>
      <c r="F19" s="61"/>
      <c r="G19" s="61"/>
      <c r="H19" s="148">
        <f>'4.pielikums'!B20</f>
        <v>130285</v>
      </c>
      <c r="I19" s="46"/>
    </row>
    <row r="20" spans="1:9" ht="15" customHeight="1" x14ac:dyDescent="0.3">
      <c r="A20" s="38"/>
      <c r="B20" s="56" t="s">
        <v>542</v>
      </c>
      <c r="C20" s="93"/>
      <c r="D20" s="61">
        <f t="shared" si="2"/>
        <v>94418</v>
      </c>
      <c r="E20" s="61"/>
      <c r="F20" s="61"/>
      <c r="G20" s="61"/>
      <c r="H20" s="148">
        <f>'4.pielikums'!B21</f>
        <v>94418</v>
      </c>
      <c r="I20" s="46"/>
    </row>
    <row r="21" spans="1:9" ht="15" customHeight="1" x14ac:dyDescent="0.3">
      <c r="A21" s="38"/>
      <c r="B21" s="56" t="s">
        <v>541</v>
      </c>
      <c r="C21" s="93"/>
      <c r="D21" s="61">
        <f t="shared" si="2"/>
        <v>145377</v>
      </c>
      <c r="E21" s="61"/>
      <c r="F21" s="61"/>
      <c r="G21" s="61"/>
      <c r="H21" s="148">
        <f>'4.pielikums'!B22</f>
        <v>145377</v>
      </c>
      <c r="I21" s="46"/>
    </row>
    <row r="22" spans="1:9" ht="30" customHeight="1" x14ac:dyDescent="0.3">
      <c r="A22" s="38"/>
      <c r="B22" s="56" t="s">
        <v>66</v>
      </c>
      <c r="C22" s="93"/>
      <c r="D22" s="61">
        <f>H22-E22-G22-F22-C22</f>
        <v>44376</v>
      </c>
      <c r="E22" s="61">
        <v>7750</v>
      </c>
      <c r="F22" s="61">
        <v>27500</v>
      </c>
      <c r="G22" s="61"/>
      <c r="H22" s="148">
        <f>'4.pielikums'!B23</f>
        <v>79626</v>
      </c>
      <c r="I22" s="46"/>
    </row>
    <row r="23" spans="1:9" ht="30" customHeight="1" x14ac:dyDescent="0.3">
      <c r="A23" s="38"/>
      <c r="B23" s="56" t="s">
        <v>100</v>
      </c>
      <c r="C23" s="93"/>
      <c r="D23" s="61">
        <f t="shared" si="2"/>
        <v>586196</v>
      </c>
      <c r="E23" s="61"/>
      <c r="F23" s="61"/>
      <c r="G23" s="61"/>
      <c r="H23" s="148">
        <f>'4.pielikums'!B26</f>
        <v>586196</v>
      </c>
      <c r="I23" s="46"/>
    </row>
    <row r="24" spans="1:9" ht="15" customHeight="1" x14ac:dyDescent="0.3">
      <c r="A24" s="38"/>
      <c r="B24" s="56" t="s">
        <v>3</v>
      </c>
      <c r="C24" s="93"/>
      <c r="D24" s="61">
        <f t="shared" si="2"/>
        <v>5000</v>
      </c>
      <c r="E24" s="61"/>
      <c r="F24" s="61"/>
      <c r="G24" s="61"/>
      <c r="H24" s="148">
        <f>'4.pielikums'!B24</f>
        <v>5000</v>
      </c>
      <c r="I24" s="46"/>
    </row>
    <row r="25" spans="1:9" ht="15" customHeight="1" x14ac:dyDescent="0.3">
      <c r="A25" s="38"/>
      <c r="B25" s="57" t="s">
        <v>4</v>
      </c>
      <c r="C25" s="80"/>
      <c r="D25" s="61">
        <f t="shared" si="2"/>
        <v>51098</v>
      </c>
      <c r="E25" s="61"/>
      <c r="F25" s="61"/>
      <c r="G25" s="61"/>
      <c r="H25" s="148">
        <f>'4.pielikums'!B25</f>
        <v>51098</v>
      </c>
      <c r="I25" s="46"/>
    </row>
    <row r="26" spans="1:9" ht="15" customHeight="1" x14ac:dyDescent="0.3">
      <c r="A26" s="38"/>
      <c r="B26" s="57" t="s">
        <v>519</v>
      </c>
      <c r="C26" s="80"/>
      <c r="D26" s="61">
        <f t="shared" si="2"/>
        <v>1313</v>
      </c>
      <c r="E26" s="61"/>
      <c r="F26" s="61"/>
      <c r="G26" s="61"/>
      <c r="H26" s="148">
        <f>'4.pielikums'!B18</f>
        <v>1313</v>
      </c>
      <c r="I26" s="46"/>
    </row>
    <row r="27" spans="1:9" ht="15" customHeight="1" x14ac:dyDescent="0.3">
      <c r="A27" s="4" t="s">
        <v>159</v>
      </c>
      <c r="B27" s="59" t="s">
        <v>160</v>
      </c>
      <c r="C27" s="60">
        <f>SUM(C28:C30)</f>
        <v>0</v>
      </c>
      <c r="D27" s="60">
        <f t="shared" ref="D27:G27" si="3">SUM(D28:D30)</f>
        <v>316654</v>
      </c>
      <c r="E27" s="60">
        <f t="shared" si="3"/>
        <v>39550</v>
      </c>
      <c r="F27" s="60">
        <f t="shared" si="3"/>
        <v>0</v>
      </c>
      <c r="G27" s="60">
        <f t="shared" si="3"/>
        <v>0</v>
      </c>
      <c r="H27" s="148">
        <f>SUM(H28:H30)</f>
        <v>356204</v>
      </c>
      <c r="I27" s="46"/>
    </row>
    <row r="28" spans="1:9" ht="15" customHeight="1" x14ac:dyDescent="0.3">
      <c r="A28" s="41"/>
      <c r="B28" s="57" t="s">
        <v>5</v>
      </c>
      <c r="C28" s="80"/>
      <c r="D28" s="61">
        <f>H28-E28-G28-F28-C28</f>
        <v>83862</v>
      </c>
      <c r="E28" s="61">
        <v>4550</v>
      </c>
      <c r="F28" s="61"/>
      <c r="G28" s="61"/>
      <c r="H28" s="148">
        <f>'4.pielikums'!B27</f>
        <v>88412</v>
      </c>
      <c r="I28" s="46"/>
    </row>
    <row r="29" spans="1:9" ht="15" customHeight="1" x14ac:dyDescent="0.3">
      <c r="A29" s="38"/>
      <c r="B29" s="57" t="s">
        <v>6</v>
      </c>
      <c r="C29" s="80"/>
      <c r="D29" s="61">
        <f>H29-E29-G29-F29-C29</f>
        <v>190036</v>
      </c>
      <c r="E29" s="61">
        <v>1000</v>
      </c>
      <c r="F29" s="61"/>
      <c r="G29" s="61">
        <v>0</v>
      </c>
      <c r="H29" s="148">
        <f>'4.pielikums'!B28</f>
        <v>191036</v>
      </c>
      <c r="I29" s="46"/>
    </row>
    <row r="30" spans="1:9" ht="15" customHeight="1" x14ac:dyDescent="0.3">
      <c r="A30" s="38"/>
      <c r="B30" s="137" t="s">
        <v>42</v>
      </c>
      <c r="C30" s="80"/>
      <c r="D30" s="61">
        <f>H30-E30-G30-F30-C30</f>
        <v>42756</v>
      </c>
      <c r="E30" s="61">
        <v>34000</v>
      </c>
      <c r="F30" s="61"/>
      <c r="G30" s="61"/>
      <c r="H30" s="148">
        <f>'4.pielikums'!B29</f>
        <v>76756</v>
      </c>
      <c r="I30" s="46"/>
    </row>
    <row r="31" spans="1:9" ht="15" customHeight="1" x14ac:dyDescent="0.3">
      <c r="A31" s="4" t="s">
        <v>161</v>
      </c>
      <c r="B31" s="58" t="s">
        <v>162</v>
      </c>
      <c r="C31" s="179">
        <f>SUM(C32:C66)</f>
        <v>839036</v>
      </c>
      <c r="D31" s="179">
        <f t="shared" ref="D31:G31" si="4">SUM(D32:D66)</f>
        <v>380648</v>
      </c>
      <c r="E31" s="179">
        <f t="shared" si="4"/>
        <v>7000</v>
      </c>
      <c r="F31" s="179">
        <f t="shared" si="4"/>
        <v>2465593</v>
      </c>
      <c r="G31" s="179">
        <f t="shared" si="4"/>
        <v>739172</v>
      </c>
      <c r="H31" s="148">
        <f>SUM(H32:H66)</f>
        <v>4431449</v>
      </c>
      <c r="I31" s="46"/>
    </row>
    <row r="32" spans="1:9" ht="15" customHeight="1" x14ac:dyDescent="0.3">
      <c r="A32" s="41"/>
      <c r="B32" s="57" t="s">
        <v>163</v>
      </c>
      <c r="C32" s="80"/>
      <c r="D32" s="61">
        <f>H32-E32-G32-F32-C32</f>
        <v>58102</v>
      </c>
      <c r="E32" s="61">
        <v>3000</v>
      </c>
      <c r="F32" s="61"/>
      <c r="G32" s="61"/>
      <c r="H32" s="148">
        <f>'4.pielikums'!B30</f>
        <v>61102</v>
      </c>
      <c r="I32" s="46"/>
    </row>
    <row r="33" spans="1:10" ht="23.25" customHeight="1" x14ac:dyDescent="0.3">
      <c r="A33" s="38"/>
      <c r="B33" s="56" t="s">
        <v>74</v>
      </c>
      <c r="C33" s="155">
        <v>0</v>
      </c>
      <c r="D33" s="61">
        <f t="shared" ref="D33:D66" si="5">H33-E33-G33-F33-C33</f>
        <v>283</v>
      </c>
      <c r="E33" s="61"/>
      <c r="F33" s="61">
        <v>41900</v>
      </c>
      <c r="G33" s="61"/>
      <c r="H33" s="148">
        <f>'4.pielikums'!B57</f>
        <v>42183</v>
      </c>
      <c r="I33" s="46"/>
    </row>
    <row r="34" spans="1:10" ht="15" customHeight="1" x14ac:dyDescent="0.3">
      <c r="A34" s="42"/>
      <c r="B34" s="85" t="s">
        <v>46</v>
      </c>
      <c r="C34" s="93">
        <v>14436</v>
      </c>
      <c r="D34" s="61">
        <f t="shared" si="5"/>
        <v>0</v>
      </c>
      <c r="E34" s="61"/>
      <c r="F34" s="61">
        <v>119740</v>
      </c>
      <c r="G34" s="61"/>
      <c r="H34" s="148">
        <f>'4.pielikums'!B35</f>
        <v>134176</v>
      </c>
      <c r="I34" s="46"/>
      <c r="J34" s="51"/>
    </row>
    <row r="35" spans="1:10" ht="30" customHeight="1" x14ac:dyDescent="0.3">
      <c r="A35" s="42"/>
      <c r="B35" s="85" t="s">
        <v>136</v>
      </c>
      <c r="C35" s="93">
        <v>31546</v>
      </c>
      <c r="D35" s="61">
        <f t="shared" si="5"/>
        <v>0</v>
      </c>
      <c r="E35" s="61"/>
      <c r="F35" s="61">
        <v>41427</v>
      </c>
      <c r="G35" s="61"/>
      <c r="H35" s="148">
        <f>'4.pielikums'!B36</f>
        <v>72973</v>
      </c>
      <c r="I35" s="46"/>
    </row>
    <row r="36" spans="1:10" ht="30" customHeight="1" x14ac:dyDescent="0.3">
      <c r="A36" s="42"/>
      <c r="B36" s="85" t="s">
        <v>47</v>
      </c>
      <c r="C36" s="93">
        <v>11718</v>
      </c>
      <c r="D36" s="61">
        <f t="shared" si="5"/>
        <v>0</v>
      </c>
      <c r="E36" s="61"/>
      <c r="F36" s="61">
        <v>25980</v>
      </c>
      <c r="G36" s="61"/>
      <c r="H36" s="148">
        <f>'4.pielikums'!B37</f>
        <v>37698</v>
      </c>
      <c r="I36" s="46"/>
    </row>
    <row r="37" spans="1:10" ht="30" customHeight="1" x14ac:dyDescent="0.3">
      <c r="A37" s="42"/>
      <c r="B37" s="85" t="s">
        <v>48</v>
      </c>
      <c r="C37" s="93">
        <v>0</v>
      </c>
      <c r="D37" s="61">
        <f t="shared" si="5"/>
        <v>0</v>
      </c>
      <c r="E37" s="61"/>
      <c r="F37" s="61">
        <v>34801</v>
      </c>
      <c r="G37" s="61"/>
      <c r="H37" s="148">
        <f>'4.pielikums'!B38</f>
        <v>34801</v>
      </c>
      <c r="I37" s="46"/>
    </row>
    <row r="38" spans="1:10" ht="30" customHeight="1" x14ac:dyDescent="0.3">
      <c r="A38" s="42"/>
      <c r="B38" s="85" t="s">
        <v>49</v>
      </c>
      <c r="C38" s="93">
        <v>4923</v>
      </c>
      <c r="D38" s="61">
        <f t="shared" si="5"/>
        <v>0</v>
      </c>
      <c r="E38" s="61"/>
      <c r="F38" s="61">
        <v>37470</v>
      </c>
      <c r="G38" s="61"/>
      <c r="H38" s="148">
        <f>'4.pielikums'!B39</f>
        <v>42393</v>
      </c>
      <c r="I38" s="46"/>
    </row>
    <row r="39" spans="1:10" ht="30" customHeight="1" x14ac:dyDescent="0.3">
      <c r="A39" s="42"/>
      <c r="B39" s="85" t="s">
        <v>50</v>
      </c>
      <c r="C39" s="93">
        <v>28665</v>
      </c>
      <c r="D39" s="61">
        <f t="shared" si="5"/>
        <v>0</v>
      </c>
      <c r="E39" s="61"/>
      <c r="F39" s="61">
        <v>40144</v>
      </c>
      <c r="G39" s="61"/>
      <c r="H39" s="148">
        <f>'4.pielikums'!B40</f>
        <v>68809</v>
      </c>
      <c r="I39" s="46"/>
    </row>
    <row r="40" spans="1:10" ht="30" customHeight="1" x14ac:dyDescent="0.3">
      <c r="A40" s="42"/>
      <c r="B40" s="85" t="s">
        <v>51</v>
      </c>
      <c r="C40" s="93">
        <v>7580</v>
      </c>
      <c r="D40" s="61">
        <f t="shared" si="5"/>
        <v>0</v>
      </c>
      <c r="E40" s="61"/>
      <c r="F40" s="61">
        <v>21003</v>
      </c>
      <c r="G40" s="61"/>
      <c r="H40" s="148">
        <f>'4.pielikums'!B41</f>
        <v>28583</v>
      </c>
      <c r="I40" s="46"/>
    </row>
    <row r="41" spans="1:10" ht="30" customHeight="1" x14ac:dyDescent="0.3">
      <c r="A41" s="42"/>
      <c r="B41" s="85" t="s">
        <v>52</v>
      </c>
      <c r="C41" s="93">
        <v>0</v>
      </c>
      <c r="D41" s="61">
        <f t="shared" si="5"/>
        <v>0</v>
      </c>
      <c r="E41" s="61"/>
      <c r="F41" s="61">
        <v>75759</v>
      </c>
      <c r="G41" s="61"/>
      <c r="H41" s="148">
        <f>'4.pielikums'!B42</f>
        <v>75759</v>
      </c>
      <c r="I41" s="46"/>
    </row>
    <row r="42" spans="1:10" ht="30" customHeight="1" x14ac:dyDescent="0.3">
      <c r="A42" s="42"/>
      <c r="B42" s="85" t="s">
        <v>134</v>
      </c>
      <c r="C42" s="93">
        <v>10390</v>
      </c>
      <c r="D42" s="61">
        <f t="shared" si="5"/>
        <v>0</v>
      </c>
      <c r="E42" s="61"/>
      <c r="F42" s="61">
        <v>14633</v>
      </c>
      <c r="G42" s="61"/>
      <c r="H42" s="148">
        <f>'4.pielikums'!B43</f>
        <v>25023</v>
      </c>
      <c r="I42" s="46"/>
    </row>
    <row r="43" spans="1:10" ht="30" customHeight="1" x14ac:dyDescent="0.3">
      <c r="A43" s="42"/>
      <c r="B43" s="85" t="s">
        <v>53</v>
      </c>
      <c r="C43" s="93">
        <v>5987</v>
      </c>
      <c r="D43" s="61">
        <f t="shared" si="5"/>
        <v>0</v>
      </c>
      <c r="E43" s="61"/>
      <c r="F43" s="61">
        <v>25368</v>
      </c>
      <c r="G43" s="61"/>
      <c r="H43" s="148">
        <f>'4.pielikums'!B44</f>
        <v>31355</v>
      </c>
      <c r="I43" s="46"/>
    </row>
    <row r="44" spans="1:10" ht="30" customHeight="1" x14ac:dyDescent="0.3">
      <c r="A44" s="42"/>
      <c r="B44" s="85" t="s">
        <v>132</v>
      </c>
      <c r="C44" s="93">
        <v>30994</v>
      </c>
      <c r="D44" s="61">
        <f t="shared" si="5"/>
        <v>0</v>
      </c>
      <c r="E44" s="61"/>
      <c r="F44" s="61">
        <v>76553</v>
      </c>
      <c r="G44" s="61"/>
      <c r="H44" s="148">
        <f>'4.pielikums'!B45</f>
        <v>107547</v>
      </c>
      <c r="I44" s="46"/>
    </row>
    <row r="45" spans="1:10" ht="30" customHeight="1" x14ac:dyDescent="0.3">
      <c r="A45" s="42"/>
      <c r="B45" s="85" t="s">
        <v>133</v>
      </c>
      <c r="C45" s="93"/>
      <c r="D45" s="61">
        <f t="shared" si="5"/>
        <v>0</v>
      </c>
      <c r="E45" s="61"/>
      <c r="F45" s="61">
        <v>51815</v>
      </c>
      <c r="G45" s="61"/>
      <c r="H45" s="148">
        <f>'4.pielikums'!B46</f>
        <v>51815</v>
      </c>
      <c r="I45" s="46"/>
    </row>
    <row r="46" spans="1:10" ht="30" customHeight="1" x14ac:dyDescent="0.3">
      <c r="A46" s="42"/>
      <c r="B46" s="85" t="s">
        <v>135</v>
      </c>
      <c r="C46" s="93">
        <v>136281</v>
      </c>
      <c r="D46" s="61">
        <f t="shared" si="5"/>
        <v>0</v>
      </c>
      <c r="E46" s="61"/>
      <c r="F46" s="61">
        <v>89799</v>
      </c>
      <c r="G46" s="61"/>
      <c r="H46" s="148">
        <f>'4.pielikums'!B47</f>
        <v>226080</v>
      </c>
      <c r="I46" s="46"/>
    </row>
    <row r="47" spans="1:10" ht="30" customHeight="1" x14ac:dyDescent="0.3">
      <c r="A47" s="42"/>
      <c r="B47" s="85" t="s">
        <v>137</v>
      </c>
      <c r="C47" s="93">
        <v>44593</v>
      </c>
      <c r="D47" s="61">
        <f t="shared" si="5"/>
        <v>0</v>
      </c>
      <c r="E47" s="61"/>
      <c r="F47" s="61">
        <v>23921</v>
      </c>
      <c r="G47" s="61"/>
      <c r="H47" s="148">
        <f>'4.pielikums'!B48</f>
        <v>68514</v>
      </c>
      <c r="I47" s="46"/>
    </row>
    <row r="48" spans="1:10" ht="30" customHeight="1" x14ac:dyDescent="0.3">
      <c r="A48" s="42"/>
      <c r="B48" s="85" t="s">
        <v>138</v>
      </c>
      <c r="C48" s="93">
        <v>41748</v>
      </c>
      <c r="D48" s="61">
        <f t="shared" si="5"/>
        <v>0</v>
      </c>
      <c r="E48" s="61"/>
      <c r="F48" s="61">
        <v>45635</v>
      </c>
      <c r="G48" s="61"/>
      <c r="H48" s="148">
        <f>'4.pielikums'!B49</f>
        <v>87383</v>
      </c>
      <c r="I48" s="46"/>
    </row>
    <row r="49" spans="1:11" ht="30" customHeight="1" x14ac:dyDescent="0.3">
      <c r="A49" s="42"/>
      <c r="B49" s="85" t="s">
        <v>54</v>
      </c>
      <c r="C49" s="93">
        <v>16555</v>
      </c>
      <c r="D49" s="61">
        <f t="shared" si="5"/>
        <v>0</v>
      </c>
      <c r="E49" s="61"/>
      <c r="F49" s="61">
        <v>30728</v>
      </c>
      <c r="G49" s="61"/>
      <c r="H49" s="148">
        <f>'4.pielikums'!B50</f>
        <v>47283</v>
      </c>
      <c r="I49" s="46"/>
    </row>
    <row r="50" spans="1:11" ht="30" customHeight="1" x14ac:dyDescent="0.3">
      <c r="A50" s="42"/>
      <c r="B50" s="85" t="s">
        <v>55</v>
      </c>
      <c r="C50" s="93">
        <v>12898</v>
      </c>
      <c r="D50" s="61">
        <f t="shared" si="5"/>
        <v>0</v>
      </c>
      <c r="E50" s="61"/>
      <c r="F50" s="61">
        <v>20222</v>
      </c>
      <c r="G50" s="61"/>
      <c r="H50" s="148">
        <f>'4.pielikums'!B51</f>
        <v>33120</v>
      </c>
      <c r="I50" s="46"/>
    </row>
    <row r="51" spans="1:11" ht="30" customHeight="1" x14ac:dyDescent="0.3">
      <c r="A51" s="42"/>
      <c r="B51" s="85" t="s">
        <v>141</v>
      </c>
      <c r="C51" s="93">
        <v>15297</v>
      </c>
      <c r="D51" s="61">
        <f t="shared" si="5"/>
        <v>0</v>
      </c>
      <c r="E51" s="61"/>
      <c r="F51" s="61">
        <v>13639</v>
      </c>
      <c r="G51" s="61"/>
      <c r="H51" s="148">
        <f>'4.pielikums'!B52</f>
        <v>28936</v>
      </c>
      <c r="I51" s="46"/>
    </row>
    <row r="52" spans="1:11" ht="30" customHeight="1" x14ac:dyDescent="0.3">
      <c r="A52" s="42"/>
      <c r="B52" s="85" t="s">
        <v>56</v>
      </c>
      <c r="C52" s="93">
        <v>10554</v>
      </c>
      <c r="D52" s="61">
        <f>H52-E52-G52-F52-C52</f>
        <v>0</v>
      </c>
      <c r="E52" s="61"/>
      <c r="F52" s="61">
        <v>19161</v>
      </c>
      <c r="G52" s="61"/>
      <c r="H52" s="148">
        <f>'4.pielikums'!B53</f>
        <v>29715</v>
      </c>
      <c r="I52" s="46"/>
    </row>
    <row r="53" spans="1:11" ht="30" customHeight="1" x14ac:dyDescent="0.3">
      <c r="A53" s="42"/>
      <c r="B53" s="85" t="s">
        <v>139</v>
      </c>
      <c r="C53" s="93">
        <v>3854</v>
      </c>
      <c r="D53" s="61">
        <f t="shared" si="5"/>
        <v>0</v>
      </c>
      <c r="E53" s="61"/>
      <c r="F53" s="61">
        <v>6574</v>
      </c>
      <c r="G53" s="61"/>
      <c r="H53" s="148">
        <f>'4.pielikums'!B54</f>
        <v>10428</v>
      </c>
      <c r="I53" s="46"/>
    </row>
    <row r="54" spans="1:11" ht="30" customHeight="1" x14ac:dyDescent="0.3">
      <c r="A54" s="42"/>
      <c r="B54" s="85" t="s">
        <v>140</v>
      </c>
      <c r="C54" s="93">
        <v>23905</v>
      </c>
      <c r="D54" s="61">
        <f t="shared" si="5"/>
        <v>0</v>
      </c>
      <c r="E54" s="61"/>
      <c r="F54" s="61">
        <v>18299</v>
      </c>
      <c r="G54" s="61"/>
      <c r="H54" s="148">
        <f>'4.pielikums'!B55</f>
        <v>42204</v>
      </c>
      <c r="I54" s="46"/>
      <c r="J54" s="46"/>
    </row>
    <row r="55" spans="1:11" ht="30" customHeight="1" x14ac:dyDescent="0.3">
      <c r="A55" s="42"/>
      <c r="B55" s="120" t="s">
        <v>487</v>
      </c>
      <c r="C55" s="93">
        <v>265207</v>
      </c>
      <c r="D55" s="61">
        <f t="shared" si="5"/>
        <v>0</v>
      </c>
      <c r="E55" s="61"/>
      <c r="F55" s="61">
        <v>200376</v>
      </c>
      <c r="G55" s="61"/>
      <c r="H55" s="148">
        <f>'4.pielikums'!B56</f>
        <v>465583</v>
      </c>
      <c r="I55" s="46"/>
      <c r="J55" s="46"/>
      <c r="K55" s="46"/>
    </row>
    <row r="56" spans="1:11" ht="30" customHeight="1" x14ac:dyDescent="0.3">
      <c r="A56" s="38"/>
      <c r="B56" s="56" t="s">
        <v>43</v>
      </c>
      <c r="C56" s="93"/>
      <c r="D56" s="61">
        <f t="shared" si="5"/>
        <v>3448</v>
      </c>
      <c r="E56" s="61"/>
      <c r="F56" s="61"/>
      <c r="G56" s="61"/>
      <c r="H56" s="148">
        <f>'4.pielikums'!B32</f>
        <v>3448</v>
      </c>
      <c r="I56" s="46"/>
    </row>
    <row r="57" spans="1:11" ht="15" customHeight="1" x14ac:dyDescent="0.3">
      <c r="A57" s="38"/>
      <c r="B57" s="56" t="s">
        <v>8</v>
      </c>
      <c r="C57" s="93"/>
      <c r="D57" s="61">
        <f t="shared" si="5"/>
        <v>160000</v>
      </c>
      <c r="E57" s="61"/>
      <c r="F57" s="61"/>
      <c r="G57" s="61"/>
      <c r="H57" s="148">
        <f>'4.pielikums'!B31</f>
        <v>160000</v>
      </c>
      <c r="I57" s="46"/>
    </row>
    <row r="58" spans="1:11" ht="18" customHeight="1" x14ac:dyDescent="0.3">
      <c r="A58" s="38"/>
      <c r="B58" s="56" t="s">
        <v>164</v>
      </c>
      <c r="C58" s="93"/>
      <c r="D58" s="61">
        <f t="shared" si="5"/>
        <v>50000</v>
      </c>
      <c r="E58" s="61"/>
      <c r="F58" s="61"/>
      <c r="G58" s="61"/>
      <c r="H58" s="148">
        <f>'4.pielikums'!B33</f>
        <v>50000</v>
      </c>
      <c r="I58" s="46"/>
    </row>
    <row r="59" spans="1:11" ht="18" customHeight="1" x14ac:dyDescent="0.3">
      <c r="A59" s="38"/>
      <c r="B59" s="56" t="s">
        <v>639</v>
      </c>
      <c r="C59" s="93"/>
      <c r="D59" s="61">
        <f t="shared" si="5"/>
        <v>9660</v>
      </c>
      <c r="E59" s="61">
        <v>4000</v>
      </c>
      <c r="F59" s="61"/>
      <c r="G59" s="61"/>
      <c r="H59" s="148">
        <f>'4.pielikums'!B34</f>
        <v>13660</v>
      </c>
      <c r="I59" s="46"/>
    </row>
    <row r="60" spans="1:11" ht="33" customHeight="1" x14ac:dyDescent="0.3">
      <c r="A60" s="38"/>
      <c r="B60" s="153" t="s">
        <v>734</v>
      </c>
      <c r="C60" s="155"/>
      <c r="D60" s="180">
        <f t="shared" si="5"/>
        <v>4000</v>
      </c>
      <c r="E60" s="180"/>
      <c r="F60" s="180">
        <v>8000</v>
      </c>
      <c r="G60" s="61"/>
      <c r="H60" s="148">
        <f>'4.pielikums'!B268</f>
        <v>12000</v>
      </c>
      <c r="I60" s="46"/>
    </row>
    <row r="61" spans="1:11" ht="42.75" customHeight="1" x14ac:dyDescent="0.3">
      <c r="A61" s="40"/>
      <c r="B61" s="154" t="s">
        <v>590</v>
      </c>
      <c r="C61" s="155">
        <v>75047</v>
      </c>
      <c r="D61" s="180">
        <f t="shared" si="5"/>
        <v>0</v>
      </c>
      <c r="E61" s="180"/>
      <c r="F61" s="180">
        <v>0</v>
      </c>
      <c r="G61" s="61">
        <v>51142</v>
      </c>
      <c r="H61" s="148">
        <f>'4.pielikums'!B58</f>
        <v>126189</v>
      </c>
      <c r="I61" s="46"/>
    </row>
    <row r="62" spans="1:11" ht="23.4" customHeight="1" x14ac:dyDescent="0.3">
      <c r="A62" s="40"/>
      <c r="B62" s="154" t="s">
        <v>526</v>
      </c>
      <c r="C62" s="155"/>
      <c r="D62" s="180">
        <f t="shared" si="5"/>
        <v>30000</v>
      </c>
      <c r="E62" s="180"/>
      <c r="F62" s="180"/>
      <c r="G62" s="61"/>
      <c r="H62" s="148">
        <f>'4.pielikums'!B278</f>
        <v>30000</v>
      </c>
      <c r="I62" s="46"/>
    </row>
    <row r="63" spans="1:11" ht="94.5" customHeight="1" x14ac:dyDescent="0.3">
      <c r="A63" s="40"/>
      <c r="B63" s="154" t="s">
        <v>735</v>
      </c>
      <c r="C63" s="155">
        <v>46858</v>
      </c>
      <c r="D63" s="180">
        <f t="shared" si="5"/>
        <v>0</v>
      </c>
      <c r="E63" s="180"/>
      <c r="F63" s="180"/>
      <c r="G63" s="61">
        <v>131555</v>
      </c>
      <c r="H63" s="148">
        <f>'4.pielikums'!B285</f>
        <v>178413</v>
      </c>
      <c r="I63" s="46"/>
    </row>
    <row r="64" spans="1:11" ht="41.25" customHeight="1" x14ac:dyDescent="0.3">
      <c r="A64" s="40"/>
      <c r="B64" s="121" t="s">
        <v>662</v>
      </c>
      <c r="C64" s="93"/>
      <c r="D64" s="61">
        <f t="shared" si="5"/>
        <v>0</v>
      </c>
      <c r="E64" s="61"/>
      <c r="F64" s="61">
        <v>1382646</v>
      </c>
      <c r="G64" s="61">
        <v>424735</v>
      </c>
      <c r="H64" s="148">
        <f>'4.pielikums'!B286</f>
        <v>1807381</v>
      </c>
      <c r="I64" s="46"/>
    </row>
    <row r="65" spans="1:9" ht="54" customHeight="1" x14ac:dyDescent="0.3">
      <c r="A65" s="40"/>
      <c r="B65" s="121" t="s">
        <v>544</v>
      </c>
      <c r="C65" s="93"/>
      <c r="D65" s="61">
        <f t="shared" si="5"/>
        <v>0</v>
      </c>
      <c r="E65" s="61"/>
      <c r="F65" s="61">
        <v>0</v>
      </c>
      <c r="G65" s="61">
        <v>131740</v>
      </c>
      <c r="H65" s="148">
        <f>'4.pielikums'!B287</f>
        <v>131740</v>
      </c>
      <c r="I65" s="46"/>
    </row>
    <row r="66" spans="1:9" ht="34.5" customHeight="1" x14ac:dyDescent="0.3">
      <c r="A66" s="40"/>
      <c r="B66" s="121" t="s">
        <v>672</v>
      </c>
      <c r="C66" s="93"/>
      <c r="D66" s="61">
        <f t="shared" si="5"/>
        <v>65155</v>
      </c>
      <c r="E66" s="61"/>
      <c r="F66" s="61"/>
      <c r="G66" s="61"/>
      <c r="H66" s="148">
        <f>'4.pielikums'!P292</f>
        <v>65155</v>
      </c>
      <c r="I66" s="46"/>
    </row>
    <row r="67" spans="1:9" ht="15" customHeight="1" x14ac:dyDescent="0.3">
      <c r="A67" s="4" t="s">
        <v>165</v>
      </c>
      <c r="B67" s="59" t="s">
        <v>166</v>
      </c>
      <c r="C67" s="60">
        <f>SUM(C68:C91)</f>
        <v>115841</v>
      </c>
      <c r="D67" s="60">
        <f t="shared" ref="D67:G67" si="6">SUM(D68:D91)</f>
        <v>60960</v>
      </c>
      <c r="E67" s="60">
        <f t="shared" si="6"/>
        <v>123832</v>
      </c>
      <c r="F67" s="60">
        <f t="shared" si="6"/>
        <v>0</v>
      </c>
      <c r="G67" s="60">
        <f t="shared" si="6"/>
        <v>207320</v>
      </c>
      <c r="H67" s="148">
        <f>SUM(H68:H91)</f>
        <v>507953</v>
      </c>
      <c r="I67" s="46"/>
    </row>
    <row r="68" spans="1:9" ht="30" customHeight="1" x14ac:dyDescent="0.3">
      <c r="A68" s="38"/>
      <c r="B68" s="56" t="s">
        <v>57</v>
      </c>
      <c r="C68" s="93">
        <v>115841</v>
      </c>
      <c r="D68" s="61">
        <f>H68-E68-G68-F68-C68</f>
        <v>50000</v>
      </c>
      <c r="E68" s="61"/>
      <c r="F68" s="61"/>
      <c r="G68" s="61"/>
      <c r="H68" s="148">
        <f>'4.pielikums'!B59</f>
        <v>165841</v>
      </c>
      <c r="I68" s="46"/>
    </row>
    <row r="69" spans="1:9" ht="30" customHeight="1" x14ac:dyDescent="0.3">
      <c r="A69" s="38"/>
      <c r="B69" s="122" t="s">
        <v>736</v>
      </c>
      <c r="C69" s="93"/>
      <c r="D69" s="61">
        <f t="shared" ref="D69:D91" si="7">H69-E69-G69-F69-C69</f>
        <v>-24</v>
      </c>
      <c r="E69" s="61">
        <v>7660</v>
      </c>
      <c r="F69" s="61"/>
      <c r="G69" s="61"/>
      <c r="H69" s="148">
        <f>'4.pielikums'!B60</f>
        <v>7636</v>
      </c>
      <c r="I69" s="46"/>
    </row>
    <row r="70" spans="1:9" s="45" customFormat="1" ht="30" customHeight="1" x14ac:dyDescent="0.3">
      <c r="A70" s="50"/>
      <c r="B70" s="122" t="s">
        <v>737</v>
      </c>
      <c r="C70" s="93"/>
      <c r="D70" s="61">
        <f t="shared" si="7"/>
        <v>3691</v>
      </c>
      <c r="E70" s="61">
        <v>5595</v>
      </c>
      <c r="F70" s="61"/>
      <c r="G70" s="61"/>
      <c r="H70" s="148">
        <f>'4.pielikums'!B61</f>
        <v>9286</v>
      </c>
      <c r="I70" s="46"/>
    </row>
    <row r="71" spans="1:9" ht="30" customHeight="1" x14ac:dyDescent="0.3">
      <c r="A71" s="38"/>
      <c r="B71" s="63" t="s">
        <v>738</v>
      </c>
      <c r="C71" s="93"/>
      <c r="D71" s="61">
        <f t="shared" si="7"/>
        <v>-150</v>
      </c>
      <c r="E71" s="61">
        <v>6325</v>
      </c>
      <c r="F71" s="61"/>
      <c r="G71" s="61"/>
      <c r="H71" s="148">
        <f>'4.pielikums'!B62</f>
        <v>6175</v>
      </c>
      <c r="I71" s="46"/>
    </row>
    <row r="72" spans="1:9" s="45" customFormat="1" ht="30" customHeight="1" x14ac:dyDescent="0.3">
      <c r="A72" s="50"/>
      <c r="B72" s="122" t="s">
        <v>739</v>
      </c>
      <c r="C72" s="93"/>
      <c r="D72" s="61">
        <f t="shared" si="7"/>
        <v>1690</v>
      </c>
      <c r="E72" s="61">
        <v>3235</v>
      </c>
      <c r="F72" s="61"/>
      <c r="G72" s="61"/>
      <c r="H72" s="148">
        <f>'4.pielikums'!B63</f>
        <v>4925</v>
      </c>
      <c r="I72" s="46"/>
    </row>
    <row r="73" spans="1:9" ht="30" customHeight="1" x14ac:dyDescent="0.3">
      <c r="A73" s="38"/>
      <c r="B73" s="63" t="s">
        <v>740</v>
      </c>
      <c r="C73" s="93"/>
      <c r="D73" s="61">
        <f t="shared" si="7"/>
        <v>780</v>
      </c>
      <c r="E73" s="61">
        <v>3000</v>
      </c>
      <c r="F73" s="61"/>
      <c r="G73" s="61"/>
      <c r="H73" s="148">
        <f>'4.pielikums'!B64</f>
        <v>3780</v>
      </c>
      <c r="I73" s="46"/>
    </row>
    <row r="74" spans="1:9" ht="30" customHeight="1" x14ac:dyDescent="0.3">
      <c r="A74" s="38"/>
      <c r="B74" s="63" t="s">
        <v>752</v>
      </c>
      <c r="C74" s="93"/>
      <c r="D74" s="61">
        <f t="shared" si="7"/>
        <v>-1670</v>
      </c>
      <c r="E74" s="61">
        <v>7700</v>
      </c>
      <c r="F74" s="61"/>
      <c r="G74" s="61"/>
      <c r="H74" s="148">
        <f>'4.pielikums'!B65</f>
        <v>6030</v>
      </c>
      <c r="I74" s="46"/>
    </row>
    <row r="75" spans="1:9" ht="30" customHeight="1" x14ac:dyDescent="0.3">
      <c r="A75" s="38"/>
      <c r="B75" s="63" t="s">
        <v>741</v>
      </c>
      <c r="C75" s="93"/>
      <c r="D75" s="61">
        <f t="shared" si="7"/>
        <v>-450</v>
      </c>
      <c r="E75" s="61">
        <v>5700</v>
      </c>
      <c r="F75" s="61"/>
      <c r="G75" s="61"/>
      <c r="H75" s="148">
        <f>'4.pielikums'!B66</f>
        <v>5250</v>
      </c>
      <c r="I75" s="46"/>
    </row>
    <row r="76" spans="1:9" ht="30" customHeight="1" x14ac:dyDescent="0.3">
      <c r="A76" s="38"/>
      <c r="B76" s="85" t="s">
        <v>742</v>
      </c>
      <c r="C76" s="93"/>
      <c r="D76" s="61">
        <f t="shared" si="7"/>
        <v>0</v>
      </c>
      <c r="E76" s="61">
        <v>11300</v>
      </c>
      <c r="F76" s="61"/>
      <c r="G76" s="61"/>
      <c r="H76" s="148">
        <f>'4.pielikums'!B67</f>
        <v>11300</v>
      </c>
      <c r="I76" s="46"/>
    </row>
    <row r="77" spans="1:9" s="45" customFormat="1" ht="30" customHeight="1" x14ac:dyDescent="0.3">
      <c r="A77" s="50"/>
      <c r="B77" s="85" t="s">
        <v>743</v>
      </c>
      <c r="C77" s="93"/>
      <c r="D77" s="61">
        <f t="shared" si="7"/>
        <v>1460</v>
      </c>
      <c r="E77" s="61">
        <v>1950</v>
      </c>
      <c r="F77" s="61"/>
      <c r="G77" s="61"/>
      <c r="H77" s="148">
        <f>'4.pielikums'!B68</f>
        <v>3410</v>
      </c>
      <c r="I77" s="46"/>
    </row>
    <row r="78" spans="1:9" ht="30" customHeight="1" x14ac:dyDescent="0.3">
      <c r="A78" s="38"/>
      <c r="B78" s="63" t="s">
        <v>744</v>
      </c>
      <c r="C78" s="93"/>
      <c r="D78" s="61">
        <f t="shared" si="7"/>
        <v>-1800</v>
      </c>
      <c r="E78" s="61">
        <v>8890</v>
      </c>
      <c r="F78" s="61"/>
      <c r="G78" s="61"/>
      <c r="H78" s="148">
        <f>'4.pielikums'!B69</f>
        <v>7090</v>
      </c>
      <c r="I78" s="46"/>
    </row>
    <row r="79" spans="1:9" ht="30" customHeight="1" x14ac:dyDescent="0.3">
      <c r="A79" s="38"/>
      <c r="B79" s="63" t="s">
        <v>745</v>
      </c>
      <c r="C79" s="93"/>
      <c r="D79" s="61">
        <f t="shared" si="7"/>
        <v>-180</v>
      </c>
      <c r="E79" s="61">
        <v>2640</v>
      </c>
      <c r="F79" s="61"/>
      <c r="G79" s="61"/>
      <c r="H79" s="148">
        <f>'4.pielikums'!B70</f>
        <v>2460</v>
      </c>
      <c r="I79" s="46"/>
    </row>
    <row r="80" spans="1:9" ht="30" customHeight="1" x14ac:dyDescent="0.3">
      <c r="A80" s="38"/>
      <c r="B80" s="85" t="s">
        <v>746</v>
      </c>
      <c r="C80" s="93"/>
      <c r="D80" s="61">
        <f t="shared" si="7"/>
        <v>1860</v>
      </c>
      <c r="E80" s="61">
        <v>6110</v>
      </c>
      <c r="F80" s="61"/>
      <c r="G80" s="61"/>
      <c r="H80" s="148">
        <f>'4.pielikums'!B71</f>
        <v>7970</v>
      </c>
      <c r="I80" s="46"/>
    </row>
    <row r="81" spans="1:9" ht="30" customHeight="1" x14ac:dyDescent="0.3">
      <c r="A81" s="38"/>
      <c r="B81" s="63" t="s">
        <v>716</v>
      </c>
      <c r="C81" s="93"/>
      <c r="D81" s="61">
        <f t="shared" si="7"/>
        <v>1995</v>
      </c>
      <c r="E81" s="61">
        <v>5970</v>
      </c>
      <c r="F81" s="61"/>
      <c r="G81" s="61"/>
      <c r="H81" s="148">
        <f>'4.pielikums'!B72</f>
        <v>7965</v>
      </c>
      <c r="I81" s="46"/>
    </row>
    <row r="82" spans="1:9" ht="30" customHeight="1" x14ac:dyDescent="0.3">
      <c r="A82" s="38"/>
      <c r="B82" s="63" t="s">
        <v>717</v>
      </c>
      <c r="C82" s="93"/>
      <c r="D82" s="61">
        <f t="shared" si="7"/>
        <v>-340</v>
      </c>
      <c r="E82" s="61">
        <v>780</v>
      </c>
      <c r="F82" s="61"/>
      <c r="G82" s="61"/>
      <c r="H82" s="148">
        <f>'4.pielikums'!B73</f>
        <v>440</v>
      </c>
      <c r="I82" s="46"/>
    </row>
    <row r="83" spans="1:9" ht="30" customHeight="1" x14ac:dyDescent="0.3">
      <c r="A83" s="38"/>
      <c r="B83" s="63" t="s">
        <v>747</v>
      </c>
      <c r="C83" s="93"/>
      <c r="D83" s="61">
        <f t="shared" si="7"/>
        <v>0</v>
      </c>
      <c r="E83" s="61">
        <v>2450</v>
      </c>
      <c r="F83" s="61"/>
      <c r="G83" s="61"/>
      <c r="H83" s="148">
        <f>'4.pielikums'!B74</f>
        <v>2450</v>
      </c>
      <c r="I83" s="46"/>
    </row>
    <row r="84" spans="1:9" ht="30" customHeight="1" x14ac:dyDescent="0.3">
      <c r="A84" s="38"/>
      <c r="B84" s="63" t="s">
        <v>753</v>
      </c>
      <c r="C84" s="93"/>
      <c r="D84" s="61">
        <f t="shared" si="7"/>
        <v>9388</v>
      </c>
      <c r="E84" s="61">
        <v>21900</v>
      </c>
      <c r="F84" s="61"/>
      <c r="G84" s="61"/>
      <c r="H84" s="148">
        <f>'4.pielikums'!B75</f>
        <v>31288</v>
      </c>
      <c r="I84" s="46"/>
    </row>
    <row r="85" spans="1:9" s="45" customFormat="1" ht="30" customHeight="1" x14ac:dyDescent="0.3">
      <c r="A85" s="50"/>
      <c r="B85" s="63" t="s">
        <v>754</v>
      </c>
      <c r="C85" s="93"/>
      <c r="D85" s="61">
        <f t="shared" si="7"/>
        <v>-1890</v>
      </c>
      <c r="E85" s="61">
        <v>6255</v>
      </c>
      <c r="F85" s="61"/>
      <c r="G85" s="61"/>
      <c r="H85" s="148">
        <f>'4.pielikums'!B76</f>
        <v>4365</v>
      </c>
      <c r="I85" s="46"/>
    </row>
    <row r="86" spans="1:9" ht="30" customHeight="1" x14ac:dyDescent="0.3">
      <c r="A86" s="38"/>
      <c r="B86" s="63" t="s">
        <v>755</v>
      </c>
      <c r="C86" s="93"/>
      <c r="D86" s="61">
        <f t="shared" si="7"/>
        <v>-3400</v>
      </c>
      <c r="E86" s="61">
        <v>11140</v>
      </c>
      <c r="F86" s="61"/>
      <c r="G86" s="61"/>
      <c r="H86" s="148">
        <f>'4.pielikums'!B77</f>
        <v>7740</v>
      </c>
      <c r="I86" s="46"/>
    </row>
    <row r="87" spans="1:9" ht="30" customHeight="1" x14ac:dyDescent="0.3">
      <c r="A87" s="38"/>
      <c r="B87" s="63" t="s">
        <v>748</v>
      </c>
      <c r="C87" s="93"/>
      <c r="D87" s="61">
        <f t="shared" si="7"/>
        <v>0</v>
      </c>
      <c r="E87" s="61">
        <v>5232</v>
      </c>
      <c r="F87" s="61"/>
      <c r="G87" s="61"/>
      <c r="H87" s="148">
        <f>'4.pielikums'!B78</f>
        <v>5232</v>
      </c>
      <c r="I87" s="46"/>
    </row>
    <row r="88" spans="1:9" ht="60" customHeight="1" x14ac:dyDescent="0.3">
      <c r="A88" s="38"/>
      <c r="B88" s="63" t="s">
        <v>664</v>
      </c>
      <c r="C88" s="93"/>
      <c r="D88" s="61">
        <f t="shared" si="7"/>
        <v>0</v>
      </c>
      <c r="E88" s="61"/>
      <c r="F88" s="61"/>
      <c r="G88" s="61">
        <v>53174</v>
      </c>
      <c r="H88" s="148">
        <f>'4.pielikums'!B272</f>
        <v>53174</v>
      </c>
      <c r="I88" s="46"/>
    </row>
    <row r="89" spans="1:9" ht="66.75" customHeight="1" x14ac:dyDescent="0.3">
      <c r="A89" s="38"/>
      <c r="B89" s="63" t="s">
        <v>665</v>
      </c>
      <c r="C89" s="93"/>
      <c r="D89" s="61">
        <f t="shared" si="7"/>
        <v>0</v>
      </c>
      <c r="E89" s="61"/>
      <c r="F89" s="61"/>
      <c r="G89" s="61">
        <v>62867</v>
      </c>
      <c r="H89" s="148">
        <f>'4.pielikums'!B273</f>
        <v>62867</v>
      </c>
      <c r="I89" s="46"/>
    </row>
    <row r="90" spans="1:9" ht="66" customHeight="1" x14ac:dyDescent="0.3">
      <c r="A90" s="38"/>
      <c r="B90" s="63" t="s">
        <v>666</v>
      </c>
      <c r="C90" s="93"/>
      <c r="D90" s="61">
        <f t="shared" si="7"/>
        <v>0</v>
      </c>
      <c r="E90" s="61"/>
      <c r="F90" s="61"/>
      <c r="G90" s="61">
        <v>40620</v>
      </c>
      <c r="H90" s="148">
        <f>'4.pielikums'!B274</f>
        <v>40620</v>
      </c>
      <c r="I90" s="46"/>
    </row>
    <row r="91" spans="1:9" ht="66" customHeight="1" x14ac:dyDescent="0.3">
      <c r="A91" s="38"/>
      <c r="B91" s="63" t="s">
        <v>667</v>
      </c>
      <c r="C91" s="93"/>
      <c r="D91" s="61">
        <f t="shared" si="7"/>
        <v>0</v>
      </c>
      <c r="E91" s="61"/>
      <c r="F91" s="61"/>
      <c r="G91" s="61">
        <v>50659</v>
      </c>
      <c r="H91" s="148">
        <f>'4.pielikums'!B275</f>
        <v>50659</v>
      </c>
      <c r="I91" s="46"/>
    </row>
    <row r="92" spans="1:9" ht="30" customHeight="1" x14ac:dyDescent="0.3">
      <c r="A92" s="43" t="s">
        <v>167</v>
      </c>
      <c r="B92" s="59" t="s">
        <v>168</v>
      </c>
      <c r="C92" s="60">
        <f t="shared" ref="C92:G92" si="8">C93+C96</f>
        <v>65133</v>
      </c>
      <c r="D92" s="60">
        <f t="shared" si="8"/>
        <v>3147508</v>
      </c>
      <c r="E92" s="60">
        <f t="shared" si="8"/>
        <v>741378</v>
      </c>
      <c r="F92" s="60">
        <f t="shared" si="8"/>
        <v>115800</v>
      </c>
      <c r="G92" s="60">
        <f t="shared" si="8"/>
        <v>422454</v>
      </c>
      <c r="H92" s="148">
        <f>H93+H96</f>
        <v>4492273</v>
      </c>
      <c r="I92" s="46"/>
    </row>
    <row r="93" spans="1:9" ht="15" customHeight="1" x14ac:dyDescent="0.3">
      <c r="A93" s="41"/>
      <c r="B93" s="58" t="s">
        <v>169</v>
      </c>
      <c r="C93" s="60">
        <f t="shared" ref="C93:G93" si="9">SUM(C94:C95)</f>
        <v>0</v>
      </c>
      <c r="D93" s="60">
        <f t="shared" si="9"/>
        <v>119479</v>
      </c>
      <c r="E93" s="60">
        <f t="shared" si="9"/>
        <v>0</v>
      </c>
      <c r="F93" s="60">
        <f t="shared" si="9"/>
        <v>0</v>
      </c>
      <c r="G93" s="60">
        <f t="shared" si="9"/>
        <v>0</v>
      </c>
      <c r="H93" s="148">
        <f>SUM(H94:H95)</f>
        <v>119479</v>
      </c>
      <c r="I93" s="46"/>
    </row>
    <row r="94" spans="1:9" ht="15" customHeight="1" x14ac:dyDescent="0.3">
      <c r="A94" s="4"/>
      <c r="B94" s="57" t="s">
        <v>9</v>
      </c>
      <c r="C94" s="80"/>
      <c r="D94" s="61">
        <f t="shared" ref="D94:D174" si="10">H94-E94-G94-F94-C94</f>
        <v>103880</v>
      </c>
      <c r="E94" s="61"/>
      <c r="F94" s="61"/>
      <c r="G94" s="61"/>
      <c r="H94" s="148">
        <f>'4.pielikums'!B79</f>
        <v>103880</v>
      </c>
      <c r="I94" s="46"/>
    </row>
    <row r="95" spans="1:9" ht="15" customHeight="1" x14ac:dyDescent="0.3">
      <c r="A95" s="4"/>
      <c r="B95" s="137" t="s">
        <v>546</v>
      </c>
      <c r="C95" s="80"/>
      <c r="D95" s="61">
        <f t="shared" si="10"/>
        <v>15599</v>
      </c>
      <c r="E95" s="61"/>
      <c r="F95" s="61"/>
      <c r="G95" s="61"/>
      <c r="H95" s="148">
        <f>'4.pielikums'!B80</f>
        <v>15599</v>
      </c>
      <c r="I95" s="46"/>
    </row>
    <row r="96" spans="1:9" ht="31.2" x14ac:dyDescent="0.3">
      <c r="A96" s="38"/>
      <c r="B96" s="59" t="s">
        <v>170</v>
      </c>
      <c r="C96" s="60">
        <f t="shared" ref="C96:H96" si="11">SUM(C97:C171)</f>
        <v>65133</v>
      </c>
      <c r="D96" s="60">
        <f t="shared" si="11"/>
        <v>3028029</v>
      </c>
      <c r="E96" s="60">
        <f t="shared" si="11"/>
        <v>741378</v>
      </c>
      <c r="F96" s="60">
        <f t="shared" si="11"/>
        <v>115800</v>
      </c>
      <c r="G96" s="60">
        <f t="shared" si="11"/>
        <v>422454</v>
      </c>
      <c r="H96" s="148">
        <f t="shared" si="11"/>
        <v>4372794</v>
      </c>
      <c r="I96" s="46"/>
    </row>
    <row r="97" spans="1:9" s="45" customFormat="1" ht="15" customHeight="1" x14ac:dyDescent="0.3">
      <c r="A97" s="52"/>
      <c r="B97" s="56" t="s">
        <v>106</v>
      </c>
      <c r="C97" s="93"/>
      <c r="D97" s="61">
        <f t="shared" si="10"/>
        <v>140657</v>
      </c>
      <c r="E97" s="61">
        <v>21000</v>
      </c>
      <c r="F97" s="61"/>
      <c r="G97" s="61"/>
      <c r="H97" s="148">
        <f>'4.pielikums'!B81</f>
        <v>161657</v>
      </c>
      <c r="I97" s="46"/>
    </row>
    <row r="98" spans="1:9" s="45" customFormat="1" ht="15" customHeight="1" x14ac:dyDescent="0.3">
      <c r="A98" s="52"/>
      <c r="B98" s="56" t="s">
        <v>110</v>
      </c>
      <c r="C98" s="93"/>
      <c r="D98" s="61">
        <f>H98-E98-G98-F98-C98</f>
        <v>139373</v>
      </c>
      <c r="E98" s="61"/>
      <c r="F98" s="61"/>
      <c r="G98" s="61"/>
      <c r="H98" s="148">
        <f>'4.pielikums'!B82</f>
        <v>139373</v>
      </c>
      <c r="I98" s="46"/>
    </row>
    <row r="99" spans="1:9" s="45" customFormat="1" ht="17.25" customHeight="1" x14ac:dyDescent="0.3">
      <c r="A99" s="52"/>
      <c r="B99" s="56" t="s">
        <v>530</v>
      </c>
      <c r="C99" s="93"/>
      <c r="D99" s="61">
        <f>H99-E99-G99-F99-C99</f>
        <v>487701</v>
      </c>
      <c r="E99" s="61"/>
      <c r="F99" s="61"/>
      <c r="G99" s="61"/>
      <c r="H99" s="148">
        <f>'4.pielikums'!B120</f>
        <v>487701</v>
      </c>
      <c r="I99" s="46"/>
    </row>
    <row r="100" spans="1:9" ht="21.75" customHeight="1" x14ac:dyDescent="0.3">
      <c r="A100" s="40"/>
      <c r="B100" s="56" t="s">
        <v>10</v>
      </c>
      <c r="C100" s="93"/>
      <c r="D100" s="61">
        <f>H100-E100-G100-F100-C100</f>
        <v>45750</v>
      </c>
      <c r="E100" s="61">
        <f>420+100</f>
        <v>520</v>
      </c>
      <c r="F100" s="61"/>
      <c r="G100" s="61"/>
      <c r="H100" s="148">
        <f>'4.pielikums'!B83</f>
        <v>46270</v>
      </c>
      <c r="I100" s="46"/>
    </row>
    <row r="101" spans="1:9" ht="21.75" customHeight="1" x14ac:dyDescent="0.3">
      <c r="A101" s="40"/>
      <c r="B101" s="56" t="s">
        <v>550</v>
      </c>
      <c r="C101" s="93"/>
      <c r="D101" s="61">
        <f>H101-E101-G101-F101-C101</f>
        <v>181519</v>
      </c>
      <c r="E101" s="61">
        <v>565</v>
      </c>
      <c r="F101" s="61"/>
      <c r="G101" s="61"/>
      <c r="H101" s="148">
        <f>'4.pielikums'!B84</f>
        <v>182084</v>
      </c>
      <c r="I101" s="46"/>
    </row>
    <row r="102" spans="1:9" ht="30" customHeight="1" x14ac:dyDescent="0.3">
      <c r="A102" s="38"/>
      <c r="B102" s="56" t="s">
        <v>171</v>
      </c>
      <c r="C102" s="93"/>
      <c r="D102" s="61">
        <f t="shared" si="10"/>
        <v>94534</v>
      </c>
      <c r="E102" s="61">
        <v>5600</v>
      </c>
      <c r="F102" s="61"/>
      <c r="G102" s="61"/>
      <c r="H102" s="148">
        <f>'4.pielikums'!B85</f>
        <v>100134</v>
      </c>
      <c r="I102" s="46"/>
    </row>
    <row r="103" spans="1:9" ht="28.2" customHeight="1" x14ac:dyDescent="0.3">
      <c r="A103" s="38"/>
      <c r="B103" s="56" t="s">
        <v>11</v>
      </c>
      <c r="C103" s="93"/>
      <c r="D103" s="61">
        <f>H103-E103-G103-F103-C103</f>
        <v>54051</v>
      </c>
      <c r="E103" s="61">
        <v>2766</v>
      </c>
      <c r="F103" s="61"/>
      <c r="G103" s="61"/>
      <c r="H103" s="148">
        <f>'4.pielikums'!B86</f>
        <v>56817</v>
      </c>
      <c r="I103" s="46"/>
    </row>
    <row r="104" spans="1:9" ht="30" customHeight="1" x14ac:dyDescent="0.3">
      <c r="A104" s="38"/>
      <c r="B104" s="56" t="s">
        <v>12</v>
      </c>
      <c r="C104" s="93"/>
      <c r="D104" s="61">
        <f t="shared" si="10"/>
        <v>56791</v>
      </c>
      <c r="E104" s="61">
        <v>3037</v>
      </c>
      <c r="F104" s="61"/>
      <c r="G104" s="61"/>
      <c r="H104" s="148">
        <f>'4.pielikums'!B87</f>
        <v>59828</v>
      </c>
      <c r="I104" s="46"/>
    </row>
    <row r="105" spans="1:9" ht="32.4" customHeight="1" x14ac:dyDescent="0.3">
      <c r="A105" s="38"/>
      <c r="B105" s="56" t="s">
        <v>13</v>
      </c>
      <c r="C105" s="93"/>
      <c r="D105" s="61">
        <f t="shared" si="10"/>
        <v>37730</v>
      </c>
      <c r="E105" s="61">
        <v>3044</v>
      </c>
      <c r="F105" s="61"/>
      <c r="G105" s="61"/>
      <c r="H105" s="148">
        <f>'4.pielikums'!B88</f>
        <v>40774</v>
      </c>
      <c r="I105" s="46"/>
    </row>
    <row r="106" spans="1:9" ht="29.4" customHeight="1" x14ac:dyDescent="0.3">
      <c r="A106" s="38"/>
      <c r="B106" s="56" t="s">
        <v>14</v>
      </c>
      <c r="C106" s="93"/>
      <c r="D106" s="61">
        <f t="shared" si="10"/>
        <v>105983</v>
      </c>
      <c r="E106" s="61">
        <f>125+1890</f>
        <v>2015</v>
      </c>
      <c r="F106" s="61"/>
      <c r="G106" s="61"/>
      <c r="H106" s="148">
        <f>'4.pielikums'!B89</f>
        <v>107998</v>
      </c>
      <c r="I106" s="46"/>
    </row>
    <row r="107" spans="1:9" ht="30" customHeight="1" x14ac:dyDescent="0.3">
      <c r="A107" s="38"/>
      <c r="B107" s="63" t="s">
        <v>211</v>
      </c>
      <c r="C107" s="93"/>
      <c r="D107" s="61">
        <f t="shared" si="10"/>
        <v>68772</v>
      </c>
      <c r="E107" s="61">
        <v>41000</v>
      </c>
      <c r="F107" s="61"/>
      <c r="G107" s="61"/>
      <c r="H107" s="148">
        <f>'4.pielikums'!B90</f>
        <v>109772</v>
      </c>
      <c r="I107" s="46"/>
    </row>
    <row r="108" spans="1:9" ht="30" customHeight="1" x14ac:dyDescent="0.3">
      <c r="A108" s="38"/>
      <c r="B108" s="64" t="s">
        <v>75</v>
      </c>
      <c r="C108" s="93"/>
      <c r="D108" s="61">
        <f>H108-E108-G108-F108-C108</f>
        <v>117428</v>
      </c>
      <c r="E108" s="61">
        <v>3461</v>
      </c>
      <c r="F108" s="61"/>
      <c r="G108" s="61"/>
      <c r="H108" s="148">
        <f>'4.pielikums'!B91</f>
        <v>120889</v>
      </c>
      <c r="I108" s="46"/>
    </row>
    <row r="109" spans="1:9" ht="30" customHeight="1" x14ac:dyDescent="0.3">
      <c r="A109" s="38"/>
      <c r="B109" s="56" t="s">
        <v>15</v>
      </c>
      <c r="C109" s="93"/>
      <c r="D109" s="61">
        <f t="shared" si="10"/>
        <v>60159</v>
      </c>
      <c r="E109" s="61">
        <v>115</v>
      </c>
      <c r="F109" s="61"/>
      <c r="G109" s="61"/>
      <c r="H109" s="148">
        <f>'4.pielikums'!B92</f>
        <v>60274</v>
      </c>
      <c r="I109" s="46"/>
    </row>
    <row r="110" spans="1:9" ht="30" customHeight="1" x14ac:dyDescent="0.3">
      <c r="A110" s="38"/>
      <c r="B110" s="63" t="s">
        <v>212</v>
      </c>
      <c r="C110" s="93"/>
      <c r="D110" s="61">
        <f t="shared" si="10"/>
        <v>45137</v>
      </c>
      <c r="E110" s="61">
        <v>0</v>
      </c>
      <c r="F110" s="61"/>
      <c r="G110" s="61"/>
      <c r="H110" s="148">
        <f>'4.pielikums'!B93</f>
        <v>45137</v>
      </c>
      <c r="I110" s="46"/>
    </row>
    <row r="111" spans="1:9" ht="25.5" customHeight="1" x14ac:dyDescent="0.3">
      <c r="A111" s="38"/>
      <c r="B111" s="64" t="s">
        <v>76</v>
      </c>
      <c r="C111" s="93"/>
      <c r="D111" s="61">
        <f t="shared" si="10"/>
        <v>180638</v>
      </c>
      <c r="E111" s="61">
        <v>8166</v>
      </c>
      <c r="F111" s="61"/>
      <c r="G111" s="61"/>
      <c r="H111" s="148">
        <f>'4.pielikums'!B94</f>
        <v>188804</v>
      </c>
      <c r="I111" s="46"/>
    </row>
    <row r="112" spans="1:9" ht="34.200000000000003" customHeight="1" x14ac:dyDescent="0.3">
      <c r="A112" s="38"/>
      <c r="B112" s="63" t="s">
        <v>213</v>
      </c>
      <c r="C112" s="93"/>
      <c r="D112" s="61">
        <f t="shared" si="10"/>
        <v>52045</v>
      </c>
      <c r="E112" s="61">
        <v>2132</v>
      </c>
      <c r="F112" s="61"/>
      <c r="G112" s="61"/>
      <c r="H112" s="148">
        <f>'4.pielikums'!B95</f>
        <v>54177</v>
      </c>
      <c r="I112" s="46"/>
    </row>
    <row r="113" spans="1:9" ht="29.4" customHeight="1" x14ac:dyDescent="0.3">
      <c r="A113" s="38"/>
      <c r="B113" s="56" t="s">
        <v>16</v>
      </c>
      <c r="C113" s="93"/>
      <c r="D113" s="61">
        <f t="shared" si="10"/>
        <v>101086</v>
      </c>
      <c r="E113" s="61">
        <v>8605</v>
      </c>
      <c r="F113" s="61"/>
      <c r="G113" s="61"/>
      <c r="H113" s="148">
        <f>'4.pielikums'!B96</f>
        <v>109691</v>
      </c>
      <c r="I113" s="46"/>
    </row>
    <row r="114" spans="1:9" s="45" customFormat="1" ht="30" customHeight="1" x14ac:dyDescent="0.3">
      <c r="A114" s="50"/>
      <c r="B114" s="56" t="s">
        <v>17</v>
      </c>
      <c r="C114" s="93"/>
      <c r="D114" s="61">
        <f t="shared" si="10"/>
        <v>77646</v>
      </c>
      <c r="E114" s="61"/>
      <c r="F114" s="61"/>
      <c r="G114" s="61"/>
      <c r="H114" s="148">
        <f>'4.pielikums'!B97</f>
        <v>77646</v>
      </c>
      <c r="I114" s="46"/>
    </row>
    <row r="115" spans="1:9" ht="33.6" customHeight="1" x14ac:dyDescent="0.3">
      <c r="A115" s="38"/>
      <c r="B115" s="63" t="s">
        <v>115</v>
      </c>
      <c r="C115" s="93"/>
      <c r="D115" s="61">
        <f t="shared" si="10"/>
        <v>81297</v>
      </c>
      <c r="E115" s="61">
        <v>3450</v>
      </c>
      <c r="F115" s="61"/>
      <c r="G115" s="61"/>
      <c r="H115" s="148">
        <f>'4.pielikums'!B98</f>
        <v>84747</v>
      </c>
      <c r="I115" s="46"/>
    </row>
    <row r="116" spans="1:9" ht="31.95" customHeight="1" x14ac:dyDescent="0.3">
      <c r="A116" s="38"/>
      <c r="B116" s="56" t="s">
        <v>18</v>
      </c>
      <c r="C116" s="93"/>
      <c r="D116" s="61">
        <f t="shared" si="10"/>
        <v>106925</v>
      </c>
      <c r="E116" s="61">
        <v>485</v>
      </c>
      <c r="F116" s="61"/>
      <c r="G116" s="61"/>
      <c r="H116" s="148">
        <f>'4.pielikums'!B99</f>
        <v>107410</v>
      </c>
      <c r="I116" s="46"/>
    </row>
    <row r="117" spans="1:9" ht="30" customHeight="1" x14ac:dyDescent="0.3">
      <c r="A117" s="38"/>
      <c r="B117" s="63" t="s">
        <v>547</v>
      </c>
      <c r="C117" s="93"/>
      <c r="D117" s="61">
        <f t="shared" si="10"/>
        <v>16605</v>
      </c>
      <c r="E117" s="61"/>
      <c r="F117" s="61"/>
      <c r="G117" s="61"/>
      <c r="H117" s="148">
        <f>'4.pielikums'!B100</f>
        <v>16605</v>
      </c>
      <c r="I117" s="46"/>
    </row>
    <row r="118" spans="1:9" ht="30" customHeight="1" x14ac:dyDescent="0.3">
      <c r="A118" s="38"/>
      <c r="B118" s="63" t="s">
        <v>548</v>
      </c>
      <c r="C118" s="93"/>
      <c r="D118" s="61">
        <f>H118-E118-G118-F118-C118</f>
        <v>45770</v>
      </c>
      <c r="E118" s="61">
        <v>3350</v>
      </c>
      <c r="F118" s="61"/>
      <c r="G118" s="61"/>
      <c r="H118" s="148">
        <f>'4.pielikums'!B101</f>
        <v>49120</v>
      </c>
      <c r="I118" s="46"/>
    </row>
    <row r="119" spans="1:9" ht="20.25" customHeight="1" x14ac:dyDescent="0.3">
      <c r="A119" s="38"/>
      <c r="B119" s="63" t="s">
        <v>551</v>
      </c>
      <c r="C119" s="93"/>
      <c r="D119" s="61">
        <f t="shared" si="10"/>
        <v>195358</v>
      </c>
      <c r="E119" s="61">
        <v>28177</v>
      </c>
      <c r="F119" s="61"/>
      <c r="G119" s="61"/>
      <c r="H119" s="148">
        <f>'4.pielikums'!B102</f>
        <v>223535</v>
      </c>
      <c r="I119" s="46"/>
    </row>
    <row r="120" spans="1:9" ht="38.25" customHeight="1" x14ac:dyDescent="0.3">
      <c r="A120" s="38"/>
      <c r="B120" s="63" t="s">
        <v>642</v>
      </c>
      <c r="C120" s="93"/>
      <c r="D120" s="61">
        <f t="shared" si="10"/>
        <v>0</v>
      </c>
      <c r="E120" s="61">
        <v>79658</v>
      </c>
      <c r="F120" s="61"/>
      <c r="G120" s="61"/>
      <c r="H120" s="148">
        <f>'4.pielikums'!B103</f>
        <v>79658</v>
      </c>
      <c r="I120" s="46"/>
    </row>
    <row r="121" spans="1:9" ht="38.25" customHeight="1" x14ac:dyDescent="0.3">
      <c r="A121" s="38"/>
      <c r="B121" s="63" t="s">
        <v>650</v>
      </c>
      <c r="C121" s="93"/>
      <c r="D121" s="61">
        <f t="shared" si="10"/>
        <v>0</v>
      </c>
      <c r="E121" s="61">
        <v>200</v>
      </c>
      <c r="F121" s="61"/>
      <c r="G121" s="61"/>
      <c r="H121" s="148">
        <f>'4.pielikums'!B104</f>
        <v>200</v>
      </c>
      <c r="I121" s="46"/>
    </row>
    <row r="122" spans="1:9" ht="38.25" customHeight="1" x14ac:dyDescent="0.3">
      <c r="A122" s="38"/>
      <c r="B122" s="63" t="s">
        <v>643</v>
      </c>
      <c r="C122" s="93"/>
      <c r="D122" s="61">
        <f t="shared" si="10"/>
        <v>0</v>
      </c>
      <c r="E122" s="61">
        <v>340</v>
      </c>
      <c r="F122" s="61"/>
      <c r="G122" s="61"/>
      <c r="H122" s="148">
        <f>'4.pielikums'!B105</f>
        <v>340</v>
      </c>
      <c r="I122" s="46"/>
    </row>
    <row r="123" spans="1:9" ht="38.25" customHeight="1" x14ac:dyDescent="0.3">
      <c r="A123" s="38"/>
      <c r="B123" s="63" t="s">
        <v>644</v>
      </c>
      <c r="C123" s="93"/>
      <c r="D123" s="61">
        <f t="shared" si="10"/>
        <v>0</v>
      </c>
      <c r="E123" s="61">
        <v>1810</v>
      </c>
      <c r="F123" s="61"/>
      <c r="G123" s="61"/>
      <c r="H123" s="148">
        <f>'4.pielikums'!B106</f>
        <v>1810</v>
      </c>
      <c r="I123" s="46"/>
    </row>
    <row r="124" spans="1:9" ht="38.25" customHeight="1" x14ac:dyDescent="0.3">
      <c r="A124" s="38"/>
      <c r="B124" s="63" t="s">
        <v>645</v>
      </c>
      <c r="C124" s="93"/>
      <c r="D124" s="61">
        <f t="shared" si="10"/>
        <v>0</v>
      </c>
      <c r="E124" s="61">
        <v>3043</v>
      </c>
      <c r="F124" s="61"/>
      <c r="G124" s="61"/>
      <c r="H124" s="148">
        <f>'4.pielikums'!B107</f>
        <v>3043</v>
      </c>
      <c r="I124" s="46"/>
    </row>
    <row r="125" spans="1:9" ht="38.25" customHeight="1" x14ac:dyDescent="0.3">
      <c r="A125" s="38"/>
      <c r="B125" s="63" t="s">
        <v>646</v>
      </c>
      <c r="C125" s="93"/>
      <c r="D125" s="61">
        <f t="shared" si="10"/>
        <v>0</v>
      </c>
      <c r="E125" s="61">
        <v>3750</v>
      </c>
      <c r="F125" s="61"/>
      <c r="G125" s="61"/>
      <c r="H125" s="148">
        <f>'4.pielikums'!B108</f>
        <v>3750</v>
      </c>
      <c r="I125" s="46"/>
    </row>
    <row r="126" spans="1:9" ht="38.25" customHeight="1" x14ac:dyDescent="0.3">
      <c r="A126" s="38"/>
      <c r="B126" s="63" t="s">
        <v>657</v>
      </c>
      <c r="C126" s="93"/>
      <c r="D126" s="61">
        <f t="shared" si="10"/>
        <v>0</v>
      </c>
      <c r="E126" s="61">
        <v>9400</v>
      </c>
      <c r="F126" s="61"/>
      <c r="G126" s="61"/>
      <c r="H126" s="148">
        <f>'4.pielikums'!B109</f>
        <v>9400</v>
      </c>
      <c r="I126" s="46"/>
    </row>
    <row r="127" spans="1:9" ht="38.25" customHeight="1" x14ac:dyDescent="0.3">
      <c r="A127" s="38"/>
      <c r="B127" s="63" t="s">
        <v>652</v>
      </c>
      <c r="C127" s="93"/>
      <c r="D127" s="61">
        <f t="shared" si="10"/>
        <v>0</v>
      </c>
      <c r="E127" s="61">
        <v>2415</v>
      </c>
      <c r="F127" s="61"/>
      <c r="G127" s="61"/>
      <c r="H127" s="148">
        <f>'4.pielikums'!B110</f>
        <v>2415</v>
      </c>
      <c r="I127" s="46"/>
    </row>
    <row r="128" spans="1:9" ht="38.25" customHeight="1" x14ac:dyDescent="0.3">
      <c r="A128" s="38"/>
      <c r="B128" s="63" t="s">
        <v>647</v>
      </c>
      <c r="C128" s="93"/>
      <c r="D128" s="61">
        <f t="shared" si="10"/>
        <v>0</v>
      </c>
      <c r="E128" s="61">
        <v>60</v>
      </c>
      <c r="F128" s="61"/>
      <c r="G128" s="61"/>
      <c r="H128" s="148">
        <f>'4.pielikums'!B111</f>
        <v>60</v>
      </c>
      <c r="I128" s="46"/>
    </row>
    <row r="129" spans="1:9" ht="38.25" customHeight="1" x14ac:dyDescent="0.3">
      <c r="A129" s="38"/>
      <c r="B129" s="63" t="s">
        <v>656</v>
      </c>
      <c r="C129" s="93"/>
      <c r="D129" s="61">
        <f t="shared" si="10"/>
        <v>0</v>
      </c>
      <c r="E129" s="61">
        <v>191</v>
      </c>
      <c r="F129" s="61"/>
      <c r="G129" s="61"/>
      <c r="H129" s="148">
        <f>'4.pielikums'!B112</f>
        <v>191</v>
      </c>
      <c r="I129" s="46"/>
    </row>
    <row r="130" spans="1:9" ht="38.25" customHeight="1" x14ac:dyDescent="0.3">
      <c r="A130" s="38"/>
      <c r="B130" s="63" t="s">
        <v>651</v>
      </c>
      <c r="C130" s="93"/>
      <c r="D130" s="61">
        <f t="shared" si="10"/>
        <v>0</v>
      </c>
      <c r="E130" s="61">
        <v>1775</v>
      </c>
      <c r="F130" s="61"/>
      <c r="G130" s="61"/>
      <c r="H130" s="148">
        <f>'4.pielikums'!B113</f>
        <v>1775</v>
      </c>
      <c r="I130" s="46"/>
    </row>
    <row r="131" spans="1:9" ht="38.25" customHeight="1" x14ac:dyDescent="0.3">
      <c r="A131" s="38"/>
      <c r="B131" s="63" t="s">
        <v>655</v>
      </c>
      <c r="C131" s="93"/>
      <c r="D131" s="61">
        <f t="shared" si="10"/>
        <v>0</v>
      </c>
      <c r="E131" s="61">
        <v>450</v>
      </c>
      <c r="F131" s="61"/>
      <c r="G131" s="61"/>
      <c r="H131" s="148">
        <f>'4.pielikums'!B114</f>
        <v>450</v>
      </c>
      <c r="I131" s="46"/>
    </row>
    <row r="132" spans="1:9" ht="38.25" customHeight="1" x14ac:dyDescent="0.3">
      <c r="A132" s="38"/>
      <c r="B132" s="63" t="s">
        <v>648</v>
      </c>
      <c r="C132" s="93"/>
      <c r="D132" s="61">
        <f t="shared" si="10"/>
        <v>0</v>
      </c>
      <c r="E132" s="61">
        <v>800</v>
      </c>
      <c r="F132" s="61"/>
      <c r="G132" s="61"/>
      <c r="H132" s="148">
        <f>'4.pielikums'!B115</f>
        <v>800</v>
      </c>
      <c r="I132" s="46"/>
    </row>
    <row r="133" spans="1:9" ht="38.25" customHeight="1" x14ac:dyDescent="0.3">
      <c r="A133" s="38"/>
      <c r="B133" s="63" t="s">
        <v>653</v>
      </c>
      <c r="C133" s="93"/>
      <c r="D133" s="61">
        <f t="shared" si="10"/>
        <v>0</v>
      </c>
      <c r="E133" s="61">
        <v>1895</v>
      </c>
      <c r="F133" s="61"/>
      <c r="G133" s="61"/>
      <c r="H133" s="148">
        <f>'4.pielikums'!B116</f>
        <v>1895</v>
      </c>
      <c r="I133" s="46"/>
    </row>
    <row r="134" spans="1:9" ht="38.25" customHeight="1" x14ac:dyDescent="0.3">
      <c r="A134" s="38"/>
      <c r="B134" s="63" t="s">
        <v>649</v>
      </c>
      <c r="C134" s="93"/>
      <c r="D134" s="61">
        <f t="shared" si="10"/>
        <v>219</v>
      </c>
      <c r="E134" s="61">
        <v>446</v>
      </c>
      <c r="F134" s="61"/>
      <c r="G134" s="61"/>
      <c r="H134" s="148">
        <f>'4.pielikums'!B117</f>
        <v>665</v>
      </c>
      <c r="I134" s="46"/>
    </row>
    <row r="135" spans="1:9" ht="38.25" customHeight="1" x14ac:dyDescent="0.3">
      <c r="A135" s="38"/>
      <c r="B135" s="63" t="s">
        <v>629</v>
      </c>
      <c r="C135" s="93"/>
      <c r="D135" s="61">
        <f t="shared" si="10"/>
        <v>0</v>
      </c>
      <c r="E135" s="61">
        <v>5000</v>
      </c>
      <c r="F135" s="61"/>
      <c r="G135" s="61"/>
      <c r="H135" s="148">
        <f>'4.pielikums'!B118</f>
        <v>5000</v>
      </c>
      <c r="I135" s="46"/>
    </row>
    <row r="136" spans="1:9" ht="38.25" customHeight="1" x14ac:dyDescent="0.3">
      <c r="A136" s="38"/>
      <c r="B136" s="63" t="s">
        <v>654</v>
      </c>
      <c r="C136" s="93"/>
      <c r="D136" s="61">
        <f t="shared" si="10"/>
        <v>0</v>
      </c>
      <c r="E136" s="61">
        <v>5310</v>
      </c>
      <c r="F136" s="61"/>
      <c r="G136" s="61"/>
      <c r="H136" s="148">
        <f>'4.pielikums'!B119</f>
        <v>5310</v>
      </c>
      <c r="I136" s="46"/>
    </row>
    <row r="137" spans="1:9" ht="30" customHeight="1" x14ac:dyDescent="0.3">
      <c r="A137" s="38"/>
      <c r="B137" s="63" t="s">
        <v>721</v>
      </c>
      <c r="C137" s="93"/>
      <c r="D137" s="61">
        <f t="shared" si="10"/>
        <v>29038</v>
      </c>
      <c r="E137" s="61">
        <v>35878</v>
      </c>
      <c r="F137" s="61"/>
      <c r="G137" s="61"/>
      <c r="H137" s="148">
        <f>'4.pielikums'!B121</f>
        <v>64916</v>
      </c>
      <c r="I137" s="46"/>
    </row>
    <row r="138" spans="1:9" ht="30" customHeight="1" x14ac:dyDescent="0.3">
      <c r="A138" s="38"/>
      <c r="B138" s="63" t="s">
        <v>720</v>
      </c>
      <c r="C138" s="93"/>
      <c r="D138" s="61">
        <f t="shared" si="10"/>
        <v>46409</v>
      </c>
      <c r="E138" s="61">
        <v>65000</v>
      </c>
      <c r="F138" s="61"/>
      <c r="G138" s="61"/>
      <c r="H138" s="148">
        <f>'4.pielikums'!B122</f>
        <v>111409</v>
      </c>
      <c r="I138" s="46"/>
    </row>
    <row r="139" spans="1:9" ht="30" customHeight="1" x14ac:dyDescent="0.3">
      <c r="A139" s="38"/>
      <c r="B139" s="63" t="s">
        <v>749</v>
      </c>
      <c r="C139" s="93"/>
      <c r="D139" s="61">
        <f t="shared" si="10"/>
        <v>29921</v>
      </c>
      <c r="E139" s="61">
        <v>17000</v>
      </c>
      <c r="F139" s="61"/>
      <c r="G139" s="61"/>
      <c r="H139" s="148">
        <f>'4.pielikums'!B123</f>
        <v>46921</v>
      </c>
      <c r="I139" s="46"/>
    </row>
    <row r="140" spans="1:9" ht="30" customHeight="1" x14ac:dyDescent="0.3">
      <c r="A140" s="38"/>
      <c r="B140" s="63" t="s">
        <v>750</v>
      </c>
      <c r="C140" s="93"/>
      <c r="D140" s="61">
        <f t="shared" si="10"/>
        <v>44991</v>
      </c>
      <c r="E140" s="61">
        <v>32200</v>
      </c>
      <c r="F140" s="61"/>
      <c r="G140" s="61"/>
      <c r="H140" s="148">
        <f>'4.pielikums'!B124</f>
        <v>77191</v>
      </c>
      <c r="I140" s="46"/>
    </row>
    <row r="141" spans="1:9" ht="30" customHeight="1" x14ac:dyDescent="0.3">
      <c r="A141" s="38"/>
      <c r="B141" s="63" t="s">
        <v>751</v>
      </c>
      <c r="C141" s="93"/>
      <c r="D141" s="61">
        <f t="shared" si="10"/>
        <v>17862</v>
      </c>
      <c r="E141" s="61">
        <v>16000</v>
      </c>
      <c r="F141" s="61"/>
      <c r="G141" s="61"/>
      <c r="H141" s="148">
        <f>'4.pielikums'!B125</f>
        <v>33862</v>
      </c>
      <c r="I141" s="46"/>
    </row>
    <row r="142" spans="1:9" ht="30" customHeight="1" x14ac:dyDescent="0.3">
      <c r="A142" s="38"/>
      <c r="B142" s="63" t="s">
        <v>722</v>
      </c>
      <c r="C142" s="93"/>
      <c r="D142" s="61">
        <f t="shared" si="10"/>
        <v>10556</v>
      </c>
      <c r="E142" s="61">
        <v>85000</v>
      </c>
      <c r="F142" s="61"/>
      <c r="G142" s="61"/>
      <c r="H142" s="148">
        <f>'4.pielikums'!B126</f>
        <v>95556</v>
      </c>
      <c r="I142" s="46"/>
    </row>
    <row r="143" spans="1:9" ht="33" customHeight="1" x14ac:dyDescent="0.3">
      <c r="A143" s="38"/>
      <c r="B143" s="63" t="s">
        <v>723</v>
      </c>
      <c r="C143" s="93"/>
      <c r="D143" s="61">
        <f t="shared" si="10"/>
        <v>20383</v>
      </c>
      <c r="E143" s="61">
        <v>80000</v>
      </c>
      <c r="F143" s="61"/>
      <c r="G143" s="61"/>
      <c r="H143" s="148">
        <f>'4.pielikums'!B127</f>
        <v>100383</v>
      </c>
      <c r="I143" s="46"/>
    </row>
    <row r="144" spans="1:9" ht="15" customHeight="1" x14ac:dyDescent="0.3">
      <c r="A144" s="38"/>
      <c r="B144" s="122" t="s">
        <v>121</v>
      </c>
      <c r="C144" s="93"/>
      <c r="D144" s="61">
        <f t="shared" si="10"/>
        <v>270</v>
      </c>
      <c r="E144" s="61">
        <v>3635</v>
      </c>
      <c r="F144" s="61"/>
      <c r="G144" s="61"/>
      <c r="H144" s="148">
        <f>'4.pielikums'!B128</f>
        <v>3905</v>
      </c>
      <c r="I144" s="46"/>
    </row>
    <row r="145" spans="1:9" ht="15" customHeight="1" x14ac:dyDescent="0.3">
      <c r="A145" s="38"/>
      <c r="B145" s="122" t="s">
        <v>120</v>
      </c>
      <c r="C145" s="93"/>
      <c r="D145" s="61">
        <f t="shared" si="10"/>
        <v>57</v>
      </c>
      <c r="E145" s="61">
        <v>10185</v>
      </c>
      <c r="F145" s="61"/>
      <c r="G145" s="61"/>
      <c r="H145" s="148">
        <f>'4.pielikums'!B129</f>
        <v>10242</v>
      </c>
      <c r="I145" s="46"/>
    </row>
    <row r="146" spans="1:9" s="45" customFormat="1" ht="30" customHeight="1" x14ac:dyDescent="0.3">
      <c r="A146" s="50"/>
      <c r="B146" s="63" t="s">
        <v>552</v>
      </c>
      <c r="C146" s="93"/>
      <c r="D146" s="61">
        <f>H146-E146-G146-F146-C146</f>
        <v>-2425</v>
      </c>
      <c r="E146" s="61">
        <v>10625</v>
      </c>
      <c r="F146" s="61"/>
      <c r="G146" s="61"/>
      <c r="H146" s="148">
        <f>'4.pielikums'!B130</f>
        <v>8200</v>
      </c>
      <c r="I146" s="46"/>
    </row>
    <row r="147" spans="1:9" ht="15" customHeight="1" x14ac:dyDescent="0.3">
      <c r="A147" s="38"/>
      <c r="B147" s="63" t="s">
        <v>553</v>
      </c>
      <c r="C147" s="93"/>
      <c r="D147" s="61">
        <f>H147-E147-G147-F147-C147</f>
        <v>3220</v>
      </c>
      <c r="E147" s="61">
        <v>5920</v>
      </c>
      <c r="F147" s="61"/>
      <c r="G147" s="61"/>
      <c r="H147" s="148">
        <f>'4.pielikums'!B131</f>
        <v>9140</v>
      </c>
      <c r="I147" s="46"/>
    </row>
    <row r="148" spans="1:9" s="45" customFormat="1" ht="30" customHeight="1" x14ac:dyDescent="0.3">
      <c r="A148" s="50"/>
      <c r="B148" s="63" t="s">
        <v>554</v>
      </c>
      <c r="C148" s="93"/>
      <c r="D148" s="61">
        <f>H148-E148-G148-F148-C148</f>
        <v>1078</v>
      </c>
      <c r="E148" s="61">
        <v>3215</v>
      </c>
      <c r="F148" s="61"/>
      <c r="G148" s="61"/>
      <c r="H148" s="148">
        <f>'4.pielikums'!B132</f>
        <v>4293</v>
      </c>
      <c r="I148" s="46"/>
    </row>
    <row r="149" spans="1:9" ht="15" customHeight="1" x14ac:dyDescent="0.3">
      <c r="A149" s="38"/>
      <c r="B149" s="175" t="s">
        <v>555</v>
      </c>
      <c r="C149" s="93"/>
      <c r="D149" s="61">
        <f t="shared" si="10"/>
        <v>-475</v>
      </c>
      <c r="E149" s="61">
        <v>5325</v>
      </c>
      <c r="F149" s="61"/>
      <c r="G149" s="61"/>
      <c r="H149" s="148">
        <f>'4.pielikums'!B133</f>
        <v>4850</v>
      </c>
      <c r="I149" s="46"/>
    </row>
    <row r="150" spans="1:9" ht="15" customHeight="1" x14ac:dyDescent="0.3">
      <c r="A150" s="38"/>
      <c r="B150" s="63" t="s">
        <v>556</v>
      </c>
      <c r="C150" s="93"/>
      <c r="D150" s="61">
        <f t="shared" si="10"/>
        <v>-410</v>
      </c>
      <c r="E150" s="61">
        <v>8020</v>
      </c>
      <c r="F150" s="61"/>
      <c r="G150" s="61"/>
      <c r="H150" s="148">
        <f>'4.pielikums'!B134</f>
        <v>7610</v>
      </c>
      <c r="I150" s="46"/>
    </row>
    <row r="151" spans="1:9" ht="30" customHeight="1" x14ac:dyDescent="0.3">
      <c r="A151" s="38"/>
      <c r="B151" s="63" t="s">
        <v>557</v>
      </c>
      <c r="C151" s="93"/>
      <c r="D151" s="61">
        <f t="shared" si="10"/>
        <v>-3600</v>
      </c>
      <c r="E151" s="61">
        <v>10000</v>
      </c>
      <c r="F151" s="61"/>
      <c r="G151" s="61"/>
      <c r="H151" s="148">
        <f>'4.pielikums'!B135</f>
        <v>6400</v>
      </c>
      <c r="I151" s="46"/>
    </row>
    <row r="152" spans="1:9" ht="15" customHeight="1" x14ac:dyDescent="0.3">
      <c r="A152" s="38"/>
      <c r="B152" s="121" t="s">
        <v>77</v>
      </c>
      <c r="C152" s="93"/>
      <c r="D152" s="61">
        <f>H152-E152-G152-F152-C152</f>
        <v>-390</v>
      </c>
      <c r="E152" s="61">
        <v>11069</v>
      </c>
      <c r="F152" s="61"/>
      <c r="G152" s="61"/>
      <c r="H152" s="148">
        <f>'4.pielikums'!B136</f>
        <v>10679</v>
      </c>
      <c r="I152" s="46"/>
    </row>
    <row r="153" spans="1:9" s="45" customFormat="1" ht="30" customHeight="1" x14ac:dyDescent="0.3">
      <c r="A153" s="50"/>
      <c r="B153" s="63" t="s">
        <v>558</v>
      </c>
      <c r="C153" s="93"/>
      <c r="D153" s="61">
        <f t="shared" si="10"/>
        <v>-320</v>
      </c>
      <c r="E153" s="61">
        <v>3455</v>
      </c>
      <c r="F153" s="61"/>
      <c r="G153" s="61"/>
      <c r="H153" s="148">
        <f>'4.pielikums'!B137</f>
        <v>3135</v>
      </c>
      <c r="I153" s="46"/>
    </row>
    <row r="154" spans="1:9" ht="30" customHeight="1" x14ac:dyDescent="0.3">
      <c r="A154" s="38"/>
      <c r="B154" s="63" t="s">
        <v>559</v>
      </c>
      <c r="C154" s="93"/>
      <c r="D154" s="61">
        <f t="shared" si="10"/>
        <v>581</v>
      </c>
      <c r="E154" s="61">
        <v>6255</v>
      </c>
      <c r="F154" s="61"/>
      <c r="G154" s="61"/>
      <c r="H154" s="148">
        <f>'4.pielikums'!B138</f>
        <v>6836</v>
      </c>
      <c r="I154" s="46"/>
    </row>
    <row r="155" spans="1:9" ht="15" customHeight="1" x14ac:dyDescent="0.3">
      <c r="A155" s="38"/>
      <c r="B155" s="63" t="s">
        <v>569</v>
      </c>
      <c r="C155" s="93"/>
      <c r="D155" s="61">
        <f t="shared" si="10"/>
        <v>-635</v>
      </c>
      <c r="E155" s="61">
        <v>4300</v>
      </c>
      <c r="F155" s="61"/>
      <c r="G155" s="61"/>
      <c r="H155" s="148">
        <f>'4.pielikums'!B139</f>
        <v>3665</v>
      </c>
      <c r="I155" s="46"/>
    </row>
    <row r="156" spans="1:9" ht="15" customHeight="1" x14ac:dyDescent="0.3">
      <c r="A156" s="38"/>
      <c r="B156" s="121" t="s">
        <v>78</v>
      </c>
      <c r="C156" s="93"/>
      <c r="D156" s="61">
        <f t="shared" si="10"/>
        <v>-1000</v>
      </c>
      <c r="E156" s="61">
        <v>12100</v>
      </c>
      <c r="F156" s="61"/>
      <c r="G156" s="61"/>
      <c r="H156" s="148">
        <f>'4.pielikums'!B140</f>
        <v>11100</v>
      </c>
      <c r="I156" s="46"/>
    </row>
    <row r="157" spans="1:9" ht="15" customHeight="1" x14ac:dyDescent="0.3">
      <c r="A157" s="38"/>
      <c r="B157" s="63" t="s">
        <v>561</v>
      </c>
      <c r="C157" s="93"/>
      <c r="D157" s="61">
        <f t="shared" si="10"/>
        <v>-1202</v>
      </c>
      <c r="E157" s="61">
        <v>4175</v>
      </c>
      <c r="F157" s="61"/>
      <c r="G157" s="61"/>
      <c r="H157" s="148">
        <f>'4.pielikums'!B141</f>
        <v>2973</v>
      </c>
      <c r="I157" s="46"/>
    </row>
    <row r="158" spans="1:9" ht="15" customHeight="1" x14ac:dyDescent="0.3">
      <c r="A158" s="38"/>
      <c r="B158" s="63" t="s">
        <v>562</v>
      </c>
      <c r="C158" s="93"/>
      <c r="D158" s="61">
        <f t="shared" si="10"/>
        <v>4633</v>
      </c>
      <c r="E158" s="61">
        <v>9890</v>
      </c>
      <c r="F158" s="61"/>
      <c r="G158" s="61"/>
      <c r="H158" s="148">
        <f>'4.pielikums'!B142</f>
        <v>14523</v>
      </c>
      <c r="I158" s="46"/>
    </row>
    <row r="159" spans="1:9" s="45" customFormat="1" ht="15" customHeight="1" x14ac:dyDescent="0.3">
      <c r="A159" s="50"/>
      <c r="B159" s="63" t="s">
        <v>564</v>
      </c>
      <c r="C159" s="93"/>
      <c r="D159" s="61">
        <f t="shared" si="10"/>
        <v>550</v>
      </c>
      <c r="E159" s="61">
        <v>4620</v>
      </c>
      <c r="F159" s="61"/>
      <c r="G159" s="61"/>
      <c r="H159" s="148">
        <f>'4.pielikums'!B144</f>
        <v>5170</v>
      </c>
      <c r="I159" s="46"/>
    </row>
    <row r="160" spans="1:9" ht="15" customHeight="1" x14ac:dyDescent="0.3">
      <c r="A160" s="38"/>
      <c r="B160" s="63" t="s">
        <v>571</v>
      </c>
      <c r="C160" s="93"/>
      <c r="D160" s="61">
        <f t="shared" si="10"/>
        <v>-544</v>
      </c>
      <c r="E160" s="61">
        <v>3785</v>
      </c>
      <c r="F160" s="61"/>
      <c r="G160" s="61"/>
      <c r="H160" s="148">
        <f>'4.pielikums'!B143</f>
        <v>3241</v>
      </c>
      <c r="I160" s="46"/>
    </row>
    <row r="161" spans="1:9" ht="15" customHeight="1" x14ac:dyDescent="0.3">
      <c r="A161" s="38"/>
      <c r="B161" s="63" t="s">
        <v>565</v>
      </c>
      <c r="C161" s="93"/>
      <c r="D161" s="61">
        <f t="shared" si="10"/>
        <v>-583</v>
      </c>
      <c r="E161" s="61">
        <v>4225</v>
      </c>
      <c r="F161" s="61"/>
      <c r="G161" s="61"/>
      <c r="H161" s="148">
        <f>'4.pielikums'!B145</f>
        <v>3642</v>
      </c>
      <c r="I161" s="46"/>
    </row>
    <row r="162" spans="1:9" ht="30" customHeight="1" x14ac:dyDescent="0.3">
      <c r="A162" s="38"/>
      <c r="B162" s="63" t="s">
        <v>570</v>
      </c>
      <c r="C162" s="93"/>
      <c r="D162" s="61">
        <f t="shared" si="10"/>
        <v>-532</v>
      </c>
      <c r="E162" s="61">
        <v>20100</v>
      </c>
      <c r="F162" s="61"/>
      <c r="G162" s="61"/>
      <c r="H162" s="148">
        <f>'4.pielikums'!B146</f>
        <v>19568</v>
      </c>
      <c r="I162" s="46"/>
    </row>
    <row r="163" spans="1:9" ht="30" customHeight="1" x14ac:dyDescent="0.3">
      <c r="A163" s="38"/>
      <c r="B163" s="63" t="s">
        <v>603</v>
      </c>
      <c r="C163" s="93"/>
      <c r="D163" s="61">
        <f t="shared" si="10"/>
        <v>2035</v>
      </c>
      <c r="E163" s="61">
        <v>3915</v>
      </c>
      <c r="F163" s="61"/>
      <c r="G163" s="61"/>
      <c r="H163" s="148">
        <f>'4.pielikums'!B147</f>
        <v>5950</v>
      </c>
      <c r="I163" s="46"/>
    </row>
    <row r="164" spans="1:9" ht="15" customHeight="1" x14ac:dyDescent="0.3">
      <c r="A164" s="38"/>
      <c r="B164" s="63" t="s">
        <v>604</v>
      </c>
      <c r="C164" s="93"/>
      <c r="D164" s="61">
        <f t="shared" si="10"/>
        <v>2543</v>
      </c>
      <c r="E164" s="61">
        <v>11455</v>
      </c>
      <c r="F164" s="61"/>
      <c r="G164" s="61"/>
      <c r="H164" s="148">
        <f>'4.pielikums'!B148</f>
        <v>13998</v>
      </c>
      <c r="I164" s="46"/>
    </row>
    <row r="165" spans="1:9" ht="30" customHeight="1" x14ac:dyDescent="0.3">
      <c r="A165" s="38"/>
      <c r="B165" s="64" t="s">
        <v>471</v>
      </c>
      <c r="C165" s="93"/>
      <c r="D165" s="61">
        <f t="shared" si="10"/>
        <v>0</v>
      </c>
      <c r="E165" s="61"/>
      <c r="F165" s="61">
        <v>15800</v>
      </c>
      <c r="G165" s="61"/>
      <c r="H165" s="148">
        <f>'4.pielikums'!B263</f>
        <v>15800</v>
      </c>
      <c r="I165" s="46"/>
    </row>
    <row r="166" spans="1:9" ht="30" customHeight="1" x14ac:dyDescent="0.3">
      <c r="A166" s="38"/>
      <c r="B166" s="176" t="s">
        <v>489</v>
      </c>
      <c r="C166" s="93"/>
      <c r="D166" s="61">
        <f t="shared" si="10"/>
        <v>60000</v>
      </c>
      <c r="E166" s="61"/>
      <c r="F166" s="61"/>
      <c r="G166" s="61"/>
      <c r="H166" s="148">
        <f>'4.pielikums'!B266</f>
        <v>60000</v>
      </c>
      <c r="I166" s="46"/>
    </row>
    <row r="167" spans="1:9" s="45" customFormat="1" ht="15" customHeight="1" x14ac:dyDescent="0.3">
      <c r="A167" s="50"/>
      <c r="B167" s="176" t="s">
        <v>101</v>
      </c>
      <c r="C167" s="93"/>
      <c r="D167" s="61">
        <f t="shared" si="10"/>
        <v>100000</v>
      </c>
      <c r="E167" s="61"/>
      <c r="F167" s="61"/>
      <c r="G167" s="61"/>
      <c r="H167" s="148">
        <f>'4.pielikums'!B264</f>
        <v>100000</v>
      </c>
      <c r="I167" s="46"/>
    </row>
    <row r="168" spans="1:9" s="45" customFormat="1" ht="28.8" customHeight="1" x14ac:dyDescent="0.3">
      <c r="A168" s="50"/>
      <c r="B168" s="176" t="s">
        <v>588</v>
      </c>
      <c r="C168" s="93"/>
      <c r="D168" s="61">
        <f t="shared" si="10"/>
        <v>129954</v>
      </c>
      <c r="E168" s="61"/>
      <c r="F168" s="61"/>
      <c r="G168" s="61"/>
      <c r="H168" s="148">
        <f>'4.pielikums'!B265</f>
        <v>129954</v>
      </c>
      <c r="I168" s="46"/>
    </row>
    <row r="169" spans="1:9" s="45" customFormat="1" ht="48.75" customHeight="1" x14ac:dyDescent="0.3">
      <c r="A169" s="50"/>
      <c r="B169" s="176" t="s">
        <v>589</v>
      </c>
      <c r="C169" s="93">
        <v>42633</v>
      </c>
      <c r="D169" s="61">
        <f t="shared" si="10"/>
        <v>42890</v>
      </c>
      <c r="E169" s="61"/>
      <c r="F169" s="61">
        <v>0</v>
      </c>
      <c r="G169" s="61">
        <v>312839</v>
      </c>
      <c r="H169" s="148">
        <f>'4.pielikums'!B280</f>
        <v>398362</v>
      </c>
      <c r="I169" s="46"/>
    </row>
    <row r="170" spans="1:9" s="45" customFormat="1" ht="28.5" customHeight="1" x14ac:dyDescent="0.3">
      <c r="A170" s="50"/>
      <c r="B170" s="176" t="s">
        <v>670</v>
      </c>
      <c r="C170" s="93"/>
      <c r="D170" s="61">
        <f t="shared" si="10"/>
        <v>0</v>
      </c>
      <c r="E170" s="61"/>
      <c r="F170" s="61">
        <v>100000</v>
      </c>
      <c r="G170" s="61"/>
      <c r="H170" s="148">
        <f>'4.pielikums'!B276</f>
        <v>100000</v>
      </c>
      <c r="I170" s="46"/>
    </row>
    <row r="171" spans="1:9" s="45" customFormat="1" ht="34.5" customHeight="1" x14ac:dyDescent="0.3">
      <c r="A171" s="50"/>
      <c r="B171" s="176" t="s">
        <v>669</v>
      </c>
      <c r="C171" s="93">
        <v>22500</v>
      </c>
      <c r="D171" s="61">
        <f t="shared" si="10"/>
        <v>0</v>
      </c>
      <c r="E171" s="61"/>
      <c r="F171" s="61">
        <v>0</v>
      </c>
      <c r="G171" s="61">
        <v>109615</v>
      </c>
      <c r="H171" s="148">
        <f>'4.pielikums'!B279</f>
        <v>132115</v>
      </c>
      <c r="I171" s="46"/>
    </row>
    <row r="172" spans="1:9" ht="15" customHeight="1" x14ac:dyDescent="0.3">
      <c r="A172" s="4" t="s">
        <v>172</v>
      </c>
      <c r="B172" s="151" t="s">
        <v>173</v>
      </c>
      <c r="C172" s="60">
        <f>SUM(C173:C182)</f>
        <v>3485</v>
      </c>
      <c r="D172" s="60">
        <f>SUM(D173:D182)</f>
        <v>0</v>
      </c>
      <c r="E172" s="60">
        <f t="shared" ref="E172:G172" si="12">SUM(E173:E181)</f>
        <v>290</v>
      </c>
      <c r="F172" s="60">
        <f t="shared" si="12"/>
        <v>151277</v>
      </c>
      <c r="G172" s="60">
        <f t="shared" si="12"/>
        <v>0</v>
      </c>
      <c r="H172" s="148">
        <f>SUM(H173:H182)</f>
        <v>279052</v>
      </c>
      <c r="I172" s="46"/>
    </row>
    <row r="173" spans="1:9" ht="15" customHeight="1" x14ac:dyDescent="0.3">
      <c r="A173" s="38"/>
      <c r="B173" s="56" t="s">
        <v>174</v>
      </c>
      <c r="C173" s="93"/>
      <c r="D173" s="61">
        <f>H173-E173-G173-F173-C173</f>
        <v>0</v>
      </c>
      <c r="E173" s="61">
        <v>80</v>
      </c>
      <c r="F173" s="61">
        <v>15093</v>
      </c>
      <c r="G173" s="61"/>
      <c r="H173" s="148">
        <f>'4.pielikums'!B149</f>
        <v>15173</v>
      </c>
      <c r="I173" s="46"/>
    </row>
    <row r="174" spans="1:9" ht="15" customHeight="1" x14ac:dyDescent="0.3">
      <c r="A174" s="38"/>
      <c r="B174" s="56" t="s">
        <v>175</v>
      </c>
      <c r="C174" s="93"/>
      <c r="D174" s="61">
        <f t="shared" si="10"/>
        <v>0</v>
      </c>
      <c r="E174" s="61">
        <v>30</v>
      </c>
      <c r="F174" s="61">
        <v>15093</v>
      </c>
      <c r="G174" s="61"/>
      <c r="H174" s="148">
        <f>'4.pielikums'!B150</f>
        <v>15123</v>
      </c>
      <c r="I174" s="46"/>
    </row>
    <row r="175" spans="1:9" ht="15" customHeight="1" x14ac:dyDescent="0.3">
      <c r="A175" s="38"/>
      <c r="B175" s="56" t="s">
        <v>176</v>
      </c>
      <c r="C175" s="93"/>
      <c r="D175" s="61">
        <f t="shared" ref="D175:D182" si="13">H175-E175-G175-F175-C175</f>
        <v>0</v>
      </c>
      <c r="E175" s="61">
        <v>30</v>
      </c>
      <c r="F175" s="61">
        <v>15093</v>
      </c>
      <c r="G175" s="61"/>
      <c r="H175" s="148">
        <f>'4.pielikums'!B151</f>
        <v>15123</v>
      </c>
      <c r="I175" s="46"/>
    </row>
    <row r="176" spans="1:9" ht="15" customHeight="1" x14ac:dyDescent="0.3">
      <c r="A176" s="38"/>
      <c r="B176" s="56" t="s">
        <v>606</v>
      </c>
      <c r="C176" s="93"/>
      <c r="D176" s="61">
        <f t="shared" si="13"/>
        <v>0</v>
      </c>
      <c r="E176" s="61">
        <v>30</v>
      </c>
      <c r="F176" s="61">
        <v>15093</v>
      </c>
      <c r="G176" s="61"/>
      <c r="H176" s="148">
        <f>'4.pielikums'!B152</f>
        <v>15123</v>
      </c>
      <c r="I176" s="46"/>
    </row>
    <row r="177" spans="1:9" ht="15" customHeight="1" x14ac:dyDescent="0.3">
      <c r="A177" s="38"/>
      <c r="B177" s="56" t="s">
        <v>177</v>
      </c>
      <c r="C177" s="93"/>
      <c r="D177" s="61">
        <f t="shared" si="13"/>
        <v>0</v>
      </c>
      <c r="E177" s="61">
        <v>30</v>
      </c>
      <c r="F177" s="61">
        <v>15093</v>
      </c>
      <c r="G177" s="61"/>
      <c r="H177" s="148">
        <f>'4.pielikums'!B153</f>
        <v>15123</v>
      </c>
      <c r="I177" s="46"/>
    </row>
    <row r="178" spans="1:9" ht="15" customHeight="1" x14ac:dyDescent="0.3">
      <c r="A178" s="38"/>
      <c r="B178" s="63" t="s">
        <v>605</v>
      </c>
      <c r="C178" s="93"/>
      <c r="D178" s="61">
        <f t="shared" si="13"/>
        <v>0</v>
      </c>
      <c r="E178" s="61">
        <v>30</v>
      </c>
      <c r="F178" s="61">
        <v>15093</v>
      </c>
      <c r="G178" s="61"/>
      <c r="H178" s="148">
        <f>'4.pielikums'!B155</f>
        <v>15123</v>
      </c>
      <c r="I178" s="46"/>
    </row>
    <row r="179" spans="1:9" ht="15" customHeight="1" x14ac:dyDescent="0.3">
      <c r="A179" s="38"/>
      <c r="B179" s="56" t="s">
        <v>178</v>
      </c>
      <c r="C179" s="93"/>
      <c r="D179" s="61">
        <f t="shared" si="13"/>
        <v>0</v>
      </c>
      <c r="E179" s="61">
        <v>30</v>
      </c>
      <c r="F179" s="61">
        <v>15093</v>
      </c>
      <c r="G179" s="61"/>
      <c r="H179" s="148">
        <f>'4.pielikums'!B155</f>
        <v>15123</v>
      </c>
      <c r="I179" s="46"/>
    </row>
    <row r="180" spans="1:9" ht="15" customHeight="1" x14ac:dyDescent="0.3">
      <c r="A180" s="38"/>
      <c r="B180" s="56" t="s">
        <v>179</v>
      </c>
      <c r="C180" s="93"/>
      <c r="D180" s="61">
        <f t="shared" si="13"/>
        <v>0</v>
      </c>
      <c r="E180" s="61">
        <v>30</v>
      </c>
      <c r="F180" s="61">
        <v>15093</v>
      </c>
      <c r="G180" s="61"/>
      <c r="H180" s="148">
        <f>'4.pielikums'!B156</f>
        <v>15123</v>
      </c>
      <c r="I180" s="46"/>
    </row>
    <row r="181" spans="1:9" ht="15" customHeight="1" x14ac:dyDescent="0.3">
      <c r="A181" s="38"/>
      <c r="B181" s="85" t="s">
        <v>180</v>
      </c>
      <c r="C181" s="93"/>
      <c r="D181" s="61">
        <f t="shared" si="13"/>
        <v>0</v>
      </c>
      <c r="E181" s="61"/>
      <c r="F181" s="61">
        <v>30533</v>
      </c>
      <c r="G181" s="61"/>
      <c r="H181" s="148">
        <f>'4.pielikums'!B157</f>
        <v>30533</v>
      </c>
      <c r="I181" s="46"/>
    </row>
    <row r="182" spans="1:9" ht="15" customHeight="1" x14ac:dyDescent="0.3">
      <c r="A182" s="38"/>
      <c r="B182" s="85" t="s">
        <v>597</v>
      </c>
      <c r="C182" s="93">
        <v>3485</v>
      </c>
      <c r="D182" s="61">
        <f t="shared" si="13"/>
        <v>0</v>
      </c>
      <c r="E182" s="61"/>
      <c r="F182" s="61">
        <v>124000</v>
      </c>
      <c r="G182" s="61"/>
      <c r="H182" s="148">
        <f>'4.pielikums'!B161</f>
        <v>127485</v>
      </c>
      <c r="I182" s="46"/>
    </row>
    <row r="183" spans="1:9" ht="15" customHeight="1" x14ac:dyDescent="0.3">
      <c r="A183" s="4" t="s">
        <v>181</v>
      </c>
      <c r="B183" s="58" t="s">
        <v>440</v>
      </c>
      <c r="C183" s="60"/>
      <c r="D183" s="60">
        <f>D184+D189+D192+D196+D217</f>
        <v>2356793</v>
      </c>
      <c r="E183" s="60">
        <f>E184+E189+E192+E196+E217</f>
        <v>141220</v>
      </c>
      <c r="F183" s="60">
        <f>F184+F189+F192+F196+F217</f>
        <v>87057</v>
      </c>
      <c r="G183" s="60">
        <f>G184+G189+G192+G196+G217</f>
        <v>0</v>
      </c>
      <c r="H183" s="148">
        <f>H184+H189+H192+H196+H217</f>
        <v>2590070</v>
      </c>
      <c r="I183" s="46"/>
    </row>
    <row r="184" spans="1:9" ht="15" customHeight="1" x14ac:dyDescent="0.3">
      <c r="A184" s="4"/>
      <c r="B184" s="58" t="s">
        <v>182</v>
      </c>
      <c r="C184" s="60">
        <f t="shared" ref="C184:G184" si="14">SUM(C185:C187)</f>
        <v>0</v>
      </c>
      <c r="D184" s="60">
        <f t="shared" si="14"/>
        <v>153109</v>
      </c>
      <c r="E184" s="60">
        <f t="shared" si="14"/>
        <v>2780</v>
      </c>
      <c r="F184" s="60">
        <f t="shared" si="14"/>
        <v>0</v>
      </c>
      <c r="G184" s="60">
        <f t="shared" si="14"/>
        <v>0</v>
      </c>
      <c r="H184" s="148">
        <f>SUM(H185:H187)</f>
        <v>155889</v>
      </c>
      <c r="I184" s="46"/>
    </row>
    <row r="185" spans="1:9" ht="15" customHeight="1" x14ac:dyDescent="0.3">
      <c r="A185" s="38"/>
      <c r="B185" s="57" t="s">
        <v>95</v>
      </c>
      <c r="C185" s="80"/>
      <c r="D185" s="61">
        <f t="shared" ref="D185:D220" si="15">H185-E185-G185-F185-C185</f>
        <v>86306</v>
      </c>
      <c r="E185" s="61"/>
      <c r="F185" s="61"/>
      <c r="G185" s="61"/>
      <c r="H185" s="148">
        <f>'4.pielikums'!B158</f>
        <v>86306</v>
      </c>
      <c r="I185" s="46"/>
    </row>
    <row r="186" spans="1:9" ht="15" customHeight="1" x14ac:dyDescent="0.3">
      <c r="A186" s="38"/>
      <c r="B186" s="56" t="s">
        <v>123</v>
      </c>
      <c r="C186" s="93"/>
      <c r="D186" s="61">
        <f t="shared" si="15"/>
        <v>31012</v>
      </c>
      <c r="E186" s="61">
        <v>1780</v>
      </c>
      <c r="F186" s="61"/>
      <c r="G186" s="61"/>
      <c r="H186" s="148">
        <f>'4.pielikums'!B159</f>
        <v>32792</v>
      </c>
      <c r="I186" s="46"/>
    </row>
    <row r="187" spans="1:9" ht="15" customHeight="1" x14ac:dyDescent="0.3">
      <c r="A187" s="38"/>
      <c r="B187" s="56" t="s">
        <v>142</v>
      </c>
      <c r="C187" s="93"/>
      <c r="D187" s="61">
        <f t="shared" si="15"/>
        <v>35791</v>
      </c>
      <c r="E187" s="61">
        <v>1000</v>
      </c>
      <c r="F187" s="61"/>
      <c r="G187" s="61"/>
      <c r="H187" s="148">
        <f>'4.pielikums'!B160</f>
        <v>36791</v>
      </c>
      <c r="I187" s="46"/>
    </row>
    <row r="188" spans="1:9" ht="15" customHeight="1" x14ac:dyDescent="0.3">
      <c r="A188" s="4"/>
      <c r="B188" s="58" t="s">
        <v>183</v>
      </c>
      <c r="C188" s="179"/>
      <c r="D188" s="61"/>
      <c r="E188" s="60"/>
      <c r="F188" s="60"/>
      <c r="G188" s="60"/>
      <c r="H188" s="148"/>
      <c r="I188" s="46"/>
    </row>
    <row r="189" spans="1:9" ht="15" customHeight="1" x14ac:dyDescent="0.3">
      <c r="A189" s="4"/>
      <c r="B189" s="58" t="s">
        <v>184</v>
      </c>
      <c r="C189" s="60">
        <f>SUM(C190:C190)</f>
        <v>0</v>
      </c>
      <c r="D189" s="60">
        <f>SUM(D190:D191)</f>
        <v>560276</v>
      </c>
      <c r="E189" s="60">
        <f>SUM(E190:E191)</f>
        <v>19700</v>
      </c>
      <c r="F189" s="60">
        <f>SUM(F190:F191)</f>
        <v>18531</v>
      </c>
      <c r="G189" s="60">
        <f>SUM(G190:G190)</f>
        <v>0</v>
      </c>
      <c r="H189" s="148">
        <f>SUM(H190:H191)</f>
        <v>598507</v>
      </c>
      <c r="I189" s="46"/>
    </row>
    <row r="190" spans="1:9" ht="15" customHeight="1" x14ac:dyDescent="0.3">
      <c r="A190" s="38"/>
      <c r="B190" s="57" t="s">
        <v>20</v>
      </c>
      <c r="C190" s="80"/>
      <c r="D190" s="61">
        <f>H190-E190-G190-F190-C190</f>
        <v>532627</v>
      </c>
      <c r="E190" s="61">
        <v>3000</v>
      </c>
      <c r="F190" s="61">
        <v>18531</v>
      </c>
      <c r="G190" s="61"/>
      <c r="H190" s="148">
        <f>'4.pielikums'!B162</f>
        <v>554158</v>
      </c>
      <c r="I190" s="46"/>
    </row>
    <row r="191" spans="1:9" ht="15" customHeight="1" x14ac:dyDescent="0.3">
      <c r="A191" s="38"/>
      <c r="B191" s="57" t="s">
        <v>531</v>
      </c>
      <c r="C191" s="80"/>
      <c r="D191" s="61">
        <f>H191-E191-G191-F191-C191</f>
        <v>27649</v>
      </c>
      <c r="E191" s="61">
        <v>16700</v>
      </c>
      <c r="F191" s="61"/>
      <c r="G191" s="61"/>
      <c r="H191" s="148">
        <f>'4.pielikums'!B163</f>
        <v>44349</v>
      </c>
      <c r="I191" s="46"/>
    </row>
    <row r="192" spans="1:9" ht="15" customHeight="1" x14ac:dyDescent="0.3">
      <c r="A192" s="4"/>
      <c r="B192" s="58" t="s">
        <v>185</v>
      </c>
      <c r="C192" s="60">
        <f t="shared" ref="C192:G192" si="16">SUM(C193:C195)</f>
        <v>0</v>
      </c>
      <c r="D192" s="60">
        <f t="shared" si="16"/>
        <v>246422</v>
      </c>
      <c r="E192" s="60">
        <f t="shared" si="16"/>
        <v>12335</v>
      </c>
      <c r="F192" s="60">
        <f t="shared" si="16"/>
        <v>0</v>
      </c>
      <c r="G192" s="60">
        <f t="shared" si="16"/>
        <v>0</v>
      </c>
      <c r="H192" s="148">
        <f>SUM(H193:H195)</f>
        <v>258757</v>
      </c>
      <c r="I192" s="46"/>
    </row>
    <row r="193" spans="1:9" ht="15" customHeight="1" x14ac:dyDescent="0.3">
      <c r="A193" s="38"/>
      <c r="B193" s="57" t="s">
        <v>186</v>
      </c>
      <c r="C193" s="80"/>
      <c r="D193" s="61">
        <f t="shared" si="15"/>
        <v>138193</v>
      </c>
      <c r="E193" s="61">
        <v>10300</v>
      </c>
      <c r="F193" s="61"/>
      <c r="G193" s="61"/>
      <c r="H193" s="148">
        <f>'4.pielikums'!B164</f>
        <v>148493</v>
      </c>
      <c r="I193" s="46"/>
    </row>
    <row r="194" spans="1:9" ht="15" customHeight="1" x14ac:dyDescent="0.3">
      <c r="A194" s="38"/>
      <c r="B194" s="57" t="s">
        <v>80</v>
      </c>
      <c r="C194" s="80"/>
      <c r="D194" s="61">
        <f t="shared" si="15"/>
        <v>63314</v>
      </c>
      <c r="E194" s="61">
        <v>660</v>
      </c>
      <c r="F194" s="61"/>
      <c r="G194" s="61"/>
      <c r="H194" s="148">
        <f>'4.pielikums'!B165</f>
        <v>63974</v>
      </c>
      <c r="I194" s="46"/>
    </row>
    <row r="195" spans="1:9" ht="15" customHeight="1" x14ac:dyDescent="0.3">
      <c r="A195" s="38"/>
      <c r="B195" s="63" t="s">
        <v>73</v>
      </c>
      <c r="C195" s="93"/>
      <c r="D195" s="61">
        <f t="shared" si="15"/>
        <v>44915</v>
      </c>
      <c r="E195" s="61">
        <v>1375</v>
      </c>
      <c r="F195" s="61"/>
      <c r="G195" s="61"/>
      <c r="H195" s="148">
        <f>'4.pielikums'!B166</f>
        <v>46290</v>
      </c>
      <c r="I195" s="46"/>
    </row>
    <row r="196" spans="1:9" ht="15" customHeight="1" x14ac:dyDescent="0.3">
      <c r="A196" s="4"/>
      <c r="B196" s="58" t="s">
        <v>187</v>
      </c>
      <c r="C196" s="60">
        <f t="shared" ref="C196:G196" si="17">SUM(C197:C216)</f>
        <v>0</v>
      </c>
      <c r="D196" s="60">
        <f t="shared" si="17"/>
        <v>1194077</v>
      </c>
      <c r="E196" s="60">
        <f t="shared" si="17"/>
        <v>97082</v>
      </c>
      <c r="F196" s="60">
        <f t="shared" si="17"/>
        <v>68526</v>
      </c>
      <c r="G196" s="60">
        <f t="shared" si="17"/>
        <v>0</v>
      </c>
      <c r="H196" s="148">
        <f>SUM(H197:H216)</f>
        <v>1359685</v>
      </c>
      <c r="I196" s="46"/>
    </row>
    <row r="197" spans="1:9" ht="24" customHeight="1" x14ac:dyDescent="0.3">
      <c r="A197" s="38"/>
      <c r="B197" s="57" t="s">
        <v>58</v>
      </c>
      <c r="C197" s="80"/>
      <c r="D197" s="61">
        <f t="shared" si="15"/>
        <v>602388</v>
      </c>
      <c r="E197" s="61">
        <v>9226</v>
      </c>
      <c r="F197" s="61">
        <v>40608</v>
      </c>
      <c r="G197" s="61"/>
      <c r="H197" s="148">
        <f>'4.pielikums'!B167</f>
        <v>652222</v>
      </c>
      <c r="I197" s="46"/>
    </row>
    <row r="198" spans="1:9" ht="30" customHeight="1" x14ac:dyDescent="0.3">
      <c r="A198" s="38"/>
      <c r="B198" s="56" t="s">
        <v>191</v>
      </c>
      <c r="C198" s="93"/>
      <c r="D198" s="61">
        <f t="shared" si="15"/>
        <v>33674</v>
      </c>
      <c r="E198" s="61">
        <v>26790</v>
      </c>
      <c r="F198" s="61"/>
      <c r="G198" s="61"/>
      <c r="H198" s="148">
        <f>'4.pielikums'!B168</f>
        <v>60464</v>
      </c>
      <c r="I198" s="46"/>
    </row>
    <row r="199" spans="1:9" ht="15" customHeight="1" x14ac:dyDescent="0.3">
      <c r="A199" s="38"/>
      <c r="B199" s="56" t="s">
        <v>81</v>
      </c>
      <c r="C199" s="93"/>
      <c r="D199" s="61">
        <f t="shared" si="15"/>
        <v>8132</v>
      </c>
      <c r="E199" s="61">
        <v>2820</v>
      </c>
      <c r="F199" s="61"/>
      <c r="G199" s="61"/>
      <c r="H199" s="148">
        <f>'4.pielikums'!B169</f>
        <v>10952</v>
      </c>
      <c r="I199" s="46"/>
    </row>
    <row r="200" spans="1:9" ht="15" customHeight="1" x14ac:dyDescent="0.3">
      <c r="A200" s="38"/>
      <c r="B200" s="57" t="s">
        <v>117</v>
      </c>
      <c r="C200" s="80"/>
      <c r="D200" s="61">
        <f>H200-E200-G200-F200-C200</f>
        <v>7934</v>
      </c>
      <c r="E200" s="61">
        <v>6450</v>
      </c>
      <c r="F200" s="61"/>
      <c r="G200" s="61"/>
      <c r="H200" s="148">
        <f>'4.pielikums'!B170</f>
        <v>14384</v>
      </c>
      <c r="I200" s="46"/>
    </row>
    <row r="201" spans="1:9" ht="15" customHeight="1" x14ac:dyDescent="0.3">
      <c r="A201" s="38"/>
      <c r="B201" s="56" t="s">
        <v>188</v>
      </c>
      <c r="C201" s="93"/>
      <c r="D201" s="61">
        <f t="shared" si="15"/>
        <v>9127</v>
      </c>
      <c r="E201" s="61">
        <v>850</v>
      </c>
      <c r="F201" s="61"/>
      <c r="G201" s="61"/>
      <c r="H201" s="148">
        <f>'4.pielikums'!B171</f>
        <v>9977</v>
      </c>
      <c r="I201" s="46"/>
    </row>
    <row r="202" spans="1:9" ht="15" customHeight="1" x14ac:dyDescent="0.3">
      <c r="A202" s="38"/>
      <c r="B202" s="57" t="s">
        <v>23</v>
      </c>
      <c r="C202" s="80"/>
      <c r="D202" s="61">
        <f t="shared" si="15"/>
        <v>4272</v>
      </c>
      <c r="E202" s="61">
        <v>720</v>
      </c>
      <c r="F202" s="61"/>
      <c r="G202" s="61"/>
      <c r="H202" s="148">
        <f>'4.pielikums'!B172</f>
        <v>4992</v>
      </c>
      <c r="I202" s="46"/>
    </row>
    <row r="203" spans="1:9" ht="15" customHeight="1" x14ac:dyDescent="0.3">
      <c r="A203" s="38"/>
      <c r="B203" s="57" t="s">
        <v>24</v>
      </c>
      <c r="C203" s="80"/>
      <c r="D203" s="61">
        <f t="shared" si="15"/>
        <v>18090</v>
      </c>
      <c r="E203" s="61">
        <v>5750</v>
      </c>
      <c r="F203" s="61"/>
      <c r="G203" s="61"/>
      <c r="H203" s="148">
        <f>'4.pielikums'!B173</f>
        <v>23840</v>
      </c>
      <c r="I203" s="46"/>
    </row>
    <row r="204" spans="1:9" ht="15" customHeight="1" x14ac:dyDescent="0.3">
      <c r="A204" s="38"/>
      <c r="B204" s="56" t="s">
        <v>72</v>
      </c>
      <c r="C204" s="93"/>
      <c r="D204" s="61">
        <f t="shared" si="15"/>
        <v>9957</v>
      </c>
      <c r="E204" s="61">
        <v>6310</v>
      </c>
      <c r="F204" s="61"/>
      <c r="G204" s="61"/>
      <c r="H204" s="148">
        <f>'4.pielikums'!B174</f>
        <v>16267</v>
      </c>
      <c r="I204" s="46"/>
    </row>
    <row r="205" spans="1:9" ht="15" customHeight="1" x14ac:dyDescent="0.3">
      <c r="A205" s="38"/>
      <c r="B205" s="57" t="s">
        <v>189</v>
      </c>
      <c r="C205" s="80"/>
      <c r="D205" s="61">
        <f t="shared" si="15"/>
        <v>2110</v>
      </c>
      <c r="E205" s="61">
        <v>0</v>
      </c>
      <c r="F205" s="61"/>
      <c r="G205" s="61"/>
      <c r="H205" s="148">
        <f>'4.pielikums'!B175</f>
        <v>2110</v>
      </c>
      <c r="I205" s="46"/>
    </row>
    <row r="206" spans="1:9" ht="15" customHeight="1" x14ac:dyDescent="0.3">
      <c r="A206" s="38"/>
      <c r="B206" s="63" t="s">
        <v>84</v>
      </c>
      <c r="C206" s="93"/>
      <c r="D206" s="61">
        <f t="shared" si="15"/>
        <v>8661</v>
      </c>
      <c r="E206" s="61">
        <v>3090</v>
      </c>
      <c r="F206" s="61"/>
      <c r="G206" s="61"/>
      <c r="H206" s="148">
        <f>'4.pielikums'!B176</f>
        <v>11751</v>
      </c>
      <c r="I206" s="46"/>
    </row>
    <row r="207" spans="1:9" ht="15" customHeight="1" x14ac:dyDescent="0.3">
      <c r="A207" s="38"/>
      <c r="B207" s="57" t="s">
        <v>122</v>
      </c>
      <c r="C207" s="80"/>
      <c r="D207" s="61">
        <f t="shared" si="15"/>
        <v>5652</v>
      </c>
      <c r="E207" s="61">
        <v>740</v>
      </c>
      <c r="F207" s="61"/>
      <c r="G207" s="61"/>
      <c r="H207" s="148">
        <f>'4.pielikums'!B177</f>
        <v>6392</v>
      </c>
      <c r="I207" s="46"/>
    </row>
    <row r="208" spans="1:9" ht="15" customHeight="1" x14ac:dyDescent="0.3">
      <c r="A208" s="38"/>
      <c r="B208" s="57" t="s">
        <v>114</v>
      </c>
      <c r="C208" s="80"/>
      <c r="D208" s="61">
        <f t="shared" si="15"/>
        <v>2632</v>
      </c>
      <c r="E208" s="61">
        <v>150</v>
      </c>
      <c r="F208" s="61"/>
      <c r="G208" s="61"/>
      <c r="H208" s="148">
        <f>'4.pielikums'!B178</f>
        <v>2782</v>
      </c>
      <c r="I208" s="46"/>
    </row>
    <row r="209" spans="1:9" ht="15" customHeight="1" x14ac:dyDescent="0.3">
      <c r="A209" s="38"/>
      <c r="B209" s="56" t="s">
        <v>108</v>
      </c>
      <c r="C209" s="93"/>
      <c r="D209" s="61">
        <f t="shared" si="15"/>
        <v>10480</v>
      </c>
      <c r="E209" s="61">
        <v>4100</v>
      </c>
      <c r="F209" s="61"/>
      <c r="G209" s="61"/>
      <c r="H209" s="148">
        <f>'4.pielikums'!B179</f>
        <v>14580</v>
      </c>
      <c r="I209" s="46"/>
    </row>
    <row r="210" spans="1:9" ht="15" customHeight="1" x14ac:dyDescent="0.3">
      <c r="A210" s="38"/>
      <c r="B210" s="57" t="s">
        <v>131</v>
      </c>
      <c r="C210" s="80"/>
      <c r="D210" s="61">
        <f t="shared" si="15"/>
        <v>6178</v>
      </c>
      <c r="E210" s="61">
        <v>2130</v>
      </c>
      <c r="F210" s="61"/>
      <c r="G210" s="61"/>
      <c r="H210" s="148">
        <f>'4.pielikums'!B180</f>
        <v>8308</v>
      </c>
      <c r="I210" s="46"/>
    </row>
    <row r="211" spans="1:9" ht="15" customHeight="1" x14ac:dyDescent="0.3">
      <c r="A211" s="38"/>
      <c r="B211" s="85" t="s">
        <v>124</v>
      </c>
      <c r="C211" s="93"/>
      <c r="D211" s="61">
        <f t="shared" si="15"/>
        <v>4580</v>
      </c>
      <c r="E211" s="61">
        <v>840</v>
      </c>
      <c r="F211" s="61"/>
      <c r="G211" s="61"/>
      <c r="H211" s="148">
        <f>'4.pielikums'!B181</f>
        <v>5420</v>
      </c>
      <c r="I211" s="46"/>
    </row>
    <row r="212" spans="1:9" ht="15" customHeight="1" x14ac:dyDescent="0.3">
      <c r="A212" s="38"/>
      <c r="B212" s="57" t="s">
        <v>25</v>
      </c>
      <c r="C212" s="80"/>
      <c r="D212" s="61">
        <f t="shared" si="15"/>
        <v>11699</v>
      </c>
      <c r="E212" s="61">
        <v>2880</v>
      </c>
      <c r="F212" s="61"/>
      <c r="G212" s="61"/>
      <c r="H212" s="148">
        <f>'4.pielikums'!B182</f>
        <v>14579</v>
      </c>
      <c r="I212" s="46"/>
    </row>
    <row r="213" spans="1:9" ht="15" customHeight="1" x14ac:dyDescent="0.3">
      <c r="A213" s="38"/>
      <c r="B213" s="63" t="s">
        <v>83</v>
      </c>
      <c r="C213" s="93"/>
      <c r="D213" s="61">
        <f t="shared" si="15"/>
        <v>331836</v>
      </c>
      <c r="E213" s="61">
        <v>15300</v>
      </c>
      <c r="F213" s="61">
        <v>24534</v>
      </c>
      <c r="G213" s="61"/>
      <c r="H213" s="148">
        <f>'4.pielikums'!B183</f>
        <v>371670</v>
      </c>
      <c r="I213" s="46"/>
    </row>
    <row r="214" spans="1:9" ht="15" customHeight="1" x14ac:dyDescent="0.3">
      <c r="A214" s="38"/>
      <c r="B214" s="63" t="s">
        <v>82</v>
      </c>
      <c r="C214" s="93"/>
      <c r="D214" s="61">
        <f t="shared" si="15"/>
        <v>18549</v>
      </c>
      <c r="E214" s="61">
        <v>2926</v>
      </c>
      <c r="F214" s="61"/>
      <c r="G214" s="61"/>
      <c r="H214" s="148">
        <f>'4.pielikums'!B184</f>
        <v>21475</v>
      </c>
      <c r="I214" s="46"/>
    </row>
    <row r="215" spans="1:9" ht="30" customHeight="1" x14ac:dyDescent="0.3">
      <c r="A215" s="38"/>
      <c r="B215" s="63" t="s">
        <v>85</v>
      </c>
      <c r="C215" s="93"/>
      <c r="D215" s="61">
        <f t="shared" si="15"/>
        <v>6181</v>
      </c>
      <c r="E215" s="61">
        <v>2300</v>
      </c>
      <c r="F215" s="61"/>
      <c r="G215" s="61"/>
      <c r="H215" s="148">
        <f>'4.pielikums'!B185</f>
        <v>8481</v>
      </c>
      <c r="I215" s="46"/>
    </row>
    <row r="216" spans="1:9" ht="30" customHeight="1" x14ac:dyDescent="0.3">
      <c r="A216" s="38"/>
      <c r="B216" s="63" t="s">
        <v>190</v>
      </c>
      <c r="C216" s="93"/>
      <c r="D216" s="61">
        <f>H216-E216-G216-F216-C216</f>
        <v>91945</v>
      </c>
      <c r="E216" s="61">
        <v>3710</v>
      </c>
      <c r="F216" s="61">
        <v>3384</v>
      </c>
      <c r="G216" s="61"/>
      <c r="H216" s="148">
        <f>'4.pielikums'!B186+'4.pielikums'!B187+'4.pielikums'!B188</f>
        <v>99039</v>
      </c>
      <c r="I216" s="46"/>
    </row>
    <row r="217" spans="1:9" ht="15" customHeight="1" x14ac:dyDescent="0.3">
      <c r="A217" s="4" t="s">
        <v>192</v>
      </c>
      <c r="B217" s="59" t="s">
        <v>193</v>
      </c>
      <c r="C217" s="179"/>
      <c r="D217" s="179">
        <f>D218+D219+D220+D223+D221+D224</f>
        <v>202909</v>
      </c>
      <c r="E217" s="179">
        <f>E218+E219+E220+E223+E221+E224</f>
        <v>9323</v>
      </c>
      <c r="F217" s="179">
        <f>F218+F219+F220+F223+F221+F224</f>
        <v>0</v>
      </c>
      <c r="G217" s="179">
        <f>G218+G219+G220+G223+G221+G224</f>
        <v>0</v>
      </c>
      <c r="H217" s="148">
        <f>SUM(H218:H224)</f>
        <v>217232</v>
      </c>
      <c r="I217" s="46"/>
    </row>
    <row r="218" spans="1:9" ht="15" customHeight="1" x14ac:dyDescent="0.3">
      <c r="A218" s="38"/>
      <c r="B218" s="56" t="s">
        <v>634</v>
      </c>
      <c r="C218" s="93"/>
      <c r="D218" s="61">
        <f t="shared" si="15"/>
        <v>84326</v>
      </c>
      <c r="E218" s="61"/>
      <c r="F218" s="61"/>
      <c r="G218" s="61"/>
      <c r="H218" s="148">
        <f>'4.pielikums'!B189</f>
        <v>84326</v>
      </c>
      <c r="I218" s="46"/>
    </row>
    <row r="219" spans="1:9" ht="15" customHeight="1" x14ac:dyDescent="0.3">
      <c r="A219" s="38"/>
      <c r="B219" s="56" t="s">
        <v>630</v>
      </c>
      <c r="C219" s="93"/>
      <c r="D219" s="61">
        <f>H219-E219-G219-F219-C219</f>
        <v>59301</v>
      </c>
      <c r="E219" s="61">
        <v>9323</v>
      </c>
      <c r="F219" s="61"/>
      <c r="G219" s="61"/>
      <c r="H219" s="148">
        <f>'4.pielikums'!B190</f>
        <v>68624</v>
      </c>
      <c r="I219" s="46"/>
    </row>
    <row r="220" spans="1:9" ht="30" customHeight="1" x14ac:dyDescent="0.3">
      <c r="A220" s="38"/>
      <c r="B220" s="85" t="s">
        <v>26</v>
      </c>
      <c r="C220" s="93"/>
      <c r="D220" s="61">
        <f t="shared" si="15"/>
        <v>38140</v>
      </c>
      <c r="E220" s="61"/>
      <c r="F220" s="61"/>
      <c r="G220" s="61"/>
      <c r="H220" s="148">
        <f>'4.pielikums'!B191</f>
        <v>38140</v>
      </c>
      <c r="I220" s="46"/>
    </row>
    <row r="221" spans="1:9" s="68" customFormat="1" ht="33.75" customHeight="1" x14ac:dyDescent="0.3">
      <c r="A221" s="138"/>
      <c r="B221" s="85" t="s">
        <v>600</v>
      </c>
      <c r="C221" s="93"/>
      <c r="D221" s="61">
        <f t="shared" ref="D221:D224" si="18">H221-E221-G221-F221-C221</f>
        <v>5000</v>
      </c>
      <c r="E221" s="61"/>
      <c r="F221" s="61"/>
      <c r="G221" s="61"/>
      <c r="H221" s="148">
        <f>'4.pielikums'!B288</f>
        <v>5000</v>
      </c>
      <c r="I221" s="46"/>
    </row>
    <row r="222" spans="1:9" s="68" customFormat="1" ht="33.75" customHeight="1" x14ac:dyDescent="0.3">
      <c r="A222" s="138"/>
      <c r="B222" s="85" t="s">
        <v>700</v>
      </c>
      <c r="C222" s="93"/>
      <c r="D222" s="61">
        <f t="shared" si="18"/>
        <v>5000</v>
      </c>
      <c r="E222" s="61"/>
      <c r="F222" s="61"/>
      <c r="G222" s="61"/>
      <c r="H222" s="148">
        <f>'4.pielikums'!B262</f>
        <v>5000</v>
      </c>
      <c r="I222" s="46"/>
    </row>
    <row r="223" spans="1:9" ht="30" customHeight="1" x14ac:dyDescent="0.3">
      <c r="A223" s="4"/>
      <c r="B223" s="85" t="s">
        <v>601</v>
      </c>
      <c r="C223" s="93"/>
      <c r="D223" s="61">
        <f t="shared" si="18"/>
        <v>3000</v>
      </c>
      <c r="E223" s="61"/>
      <c r="F223" s="61"/>
      <c r="G223" s="61"/>
      <c r="H223" s="148">
        <f>'4.pielikums'!B267</f>
        <v>3000</v>
      </c>
      <c r="I223" s="46"/>
    </row>
    <row r="224" spans="1:9" ht="50.25" customHeight="1" x14ac:dyDescent="0.3">
      <c r="A224" s="4"/>
      <c r="B224" s="85" t="s">
        <v>674</v>
      </c>
      <c r="C224" s="93"/>
      <c r="D224" s="61">
        <f t="shared" si="18"/>
        <v>13142</v>
      </c>
      <c r="E224" s="61"/>
      <c r="F224" s="61"/>
      <c r="G224" s="61"/>
      <c r="H224" s="148">
        <f>'4.pielikums'!B291</f>
        <v>13142</v>
      </c>
      <c r="I224" s="46"/>
    </row>
    <row r="225" spans="1:10" ht="15" customHeight="1" x14ac:dyDescent="0.3">
      <c r="A225" s="4" t="s">
        <v>194</v>
      </c>
      <c r="B225" s="58" t="s">
        <v>195</v>
      </c>
      <c r="C225" s="60">
        <f t="shared" ref="C225:H225" si="19">C226+C234+C241+C248+C254+C257</f>
        <v>313464</v>
      </c>
      <c r="D225" s="60">
        <f t="shared" si="19"/>
        <v>8192211</v>
      </c>
      <c r="E225" s="60">
        <f t="shared" si="19"/>
        <v>464225</v>
      </c>
      <c r="F225" s="60">
        <f t="shared" si="19"/>
        <v>9705881</v>
      </c>
      <c r="G225" s="60">
        <f t="shared" si="19"/>
        <v>406347</v>
      </c>
      <c r="H225" s="148">
        <f t="shared" si="19"/>
        <v>19082128</v>
      </c>
      <c r="I225" s="46"/>
      <c r="J225" s="46"/>
    </row>
    <row r="226" spans="1:10" ht="15" customHeight="1" x14ac:dyDescent="0.3">
      <c r="A226" s="4"/>
      <c r="B226" s="58" t="s">
        <v>196</v>
      </c>
      <c r="C226" s="60">
        <f t="shared" ref="C226:G226" si="20">SUM(C227:C232)</f>
        <v>0</v>
      </c>
      <c r="D226" s="60">
        <f t="shared" si="20"/>
        <v>2049347</v>
      </c>
      <c r="E226" s="60">
        <f>SUM(E227:E232)</f>
        <v>109740</v>
      </c>
      <c r="F226" s="60">
        <f t="shared" si="20"/>
        <v>552042</v>
      </c>
      <c r="G226" s="60">
        <f t="shared" si="20"/>
        <v>0</v>
      </c>
      <c r="H226" s="148">
        <f>SUM(H227:H232)</f>
        <v>2711129</v>
      </c>
      <c r="I226" s="46"/>
    </row>
    <row r="227" spans="1:10" ht="15" customHeight="1" x14ac:dyDescent="0.3">
      <c r="A227" s="38"/>
      <c r="B227" s="57" t="s">
        <v>27</v>
      </c>
      <c r="C227" s="80"/>
      <c r="D227" s="61">
        <f t="shared" ref="D227:D232" si="21">H227-E227-G227-F227-C227</f>
        <v>751553</v>
      </c>
      <c r="E227" s="61">
        <v>41440</v>
      </c>
      <c r="F227" s="61">
        <f>249915+17811</f>
        <v>267726</v>
      </c>
      <c r="G227" s="61"/>
      <c r="H227" s="148">
        <f>'4.pielikums'!B192</f>
        <v>1060719</v>
      </c>
      <c r="I227" s="46"/>
    </row>
    <row r="228" spans="1:10" ht="15" customHeight="1" x14ac:dyDescent="0.3">
      <c r="A228" s="38"/>
      <c r="B228" s="57" t="s">
        <v>28</v>
      </c>
      <c r="C228" s="80"/>
      <c r="D228" s="61">
        <f t="shared" si="21"/>
        <v>500081</v>
      </c>
      <c r="E228" s="61">
        <v>30200</v>
      </c>
      <c r="F228" s="61">
        <v>106212</v>
      </c>
      <c r="G228" s="61"/>
      <c r="H228" s="148">
        <f>'4.pielikums'!B193</f>
        <v>636493</v>
      </c>
      <c r="I228" s="46"/>
    </row>
    <row r="229" spans="1:10" ht="15" customHeight="1" x14ac:dyDescent="0.3">
      <c r="A229" s="38"/>
      <c r="B229" s="57" t="s">
        <v>29</v>
      </c>
      <c r="C229" s="80"/>
      <c r="D229" s="61">
        <f t="shared" si="21"/>
        <v>135785</v>
      </c>
      <c r="E229" s="61">
        <v>6875</v>
      </c>
      <c r="F229" s="61">
        <v>28176</v>
      </c>
      <c r="G229" s="61"/>
      <c r="H229" s="148">
        <f>'4.pielikums'!B194</f>
        <v>170836</v>
      </c>
      <c r="I229" s="46"/>
    </row>
    <row r="230" spans="1:10" ht="15" customHeight="1" x14ac:dyDescent="0.3">
      <c r="A230" s="38"/>
      <c r="B230" s="57" t="s">
        <v>472</v>
      </c>
      <c r="C230" s="80"/>
      <c r="D230" s="61">
        <f t="shared" si="21"/>
        <v>314709</v>
      </c>
      <c r="E230" s="61">
        <f>11100+1875</f>
        <v>12975</v>
      </c>
      <c r="F230" s="61">
        <v>28176</v>
      </c>
      <c r="G230" s="61"/>
      <c r="H230" s="148">
        <f>'4.pielikums'!B195</f>
        <v>355860</v>
      </c>
      <c r="I230" s="46"/>
    </row>
    <row r="231" spans="1:10" ht="30" customHeight="1" x14ac:dyDescent="0.3">
      <c r="A231" s="38"/>
      <c r="B231" s="63" t="s">
        <v>89</v>
      </c>
      <c r="C231" s="93"/>
      <c r="D231" s="61">
        <f t="shared" si="21"/>
        <v>302829</v>
      </c>
      <c r="E231" s="61">
        <v>13950</v>
      </c>
      <c r="F231" s="61">
        <f>98004+23748</f>
        <v>121752</v>
      </c>
      <c r="G231" s="61"/>
      <c r="H231" s="148">
        <f>'4.pielikums'!B196</f>
        <v>438531</v>
      </c>
      <c r="I231" s="46"/>
    </row>
    <row r="232" spans="1:10" ht="30" customHeight="1" x14ac:dyDescent="0.3">
      <c r="A232" s="38"/>
      <c r="B232" s="63" t="s">
        <v>532</v>
      </c>
      <c r="C232" s="93"/>
      <c r="D232" s="61">
        <f t="shared" si="21"/>
        <v>44390</v>
      </c>
      <c r="E232" s="61">
        <v>4300</v>
      </c>
      <c r="F232" s="61"/>
      <c r="G232" s="61"/>
      <c r="H232" s="148">
        <f>'4.pielikums'!B197</f>
        <v>48690</v>
      </c>
      <c r="I232" s="46"/>
    </row>
    <row r="233" spans="1:10" ht="31.2" x14ac:dyDescent="0.3">
      <c r="A233" s="4"/>
      <c r="B233" s="123" t="s">
        <v>197</v>
      </c>
      <c r="C233" s="178"/>
      <c r="D233" s="61"/>
      <c r="E233" s="61"/>
      <c r="F233" s="61"/>
      <c r="G233" s="61"/>
      <c r="H233" s="148"/>
      <c r="I233" s="46"/>
    </row>
    <row r="234" spans="1:10" ht="15" customHeight="1" x14ac:dyDescent="0.3">
      <c r="A234" s="4"/>
      <c r="B234" s="58" t="s">
        <v>675</v>
      </c>
      <c r="C234" s="60">
        <f t="shared" ref="C234:G234" si="22">SUM(C235:C240)</f>
        <v>0</v>
      </c>
      <c r="D234" s="60">
        <f t="shared" si="22"/>
        <v>1432068</v>
      </c>
      <c r="E234" s="60">
        <f t="shared" si="22"/>
        <v>102632</v>
      </c>
      <c r="F234" s="60">
        <f t="shared" si="22"/>
        <v>2931952</v>
      </c>
      <c r="G234" s="60">
        <f t="shared" si="22"/>
        <v>0</v>
      </c>
      <c r="H234" s="148">
        <f>SUM(H235:H240)</f>
        <v>4466652</v>
      </c>
      <c r="I234" s="46"/>
    </row>
    <row r="235" spans="1:10" ht="15" customHeight="1" x14ac:dyDescent="0.3">
      <c r="A235" s="38"/>
      <c r="B235" s="57" t="s">
        <v>61</v>
      </c>
      <c r="C235" s="80"/>
      <c r="D235" s="61">
        <f t="shared" ref="D235:D298" si="23">H235-E235-G235-F235-C235</f>
        <v>334026</v>
      </c>
      <c r="E235" s="61">
        <f>3800+45385</f>
        <v>49185</v>
      </c>
      <c r="F235" s="61">
        <f>81883+1061730+32064+17811</f>
        <v>1193488</v>
      </c>
      <c r="G235" s="61"/>
      <c r="H235" s="148">
        <f>'4.pielikums'!B198</f>
        <v>1576699</v>
      </c>
      <c r="I235" s="46"/>
    </row>
    <row r="236" spans="1:10" ht="15" customHeight="1" x14ac:dyDescent="0.3">
      <c r="A236" s="38"/>
      <c r="B236" s="57" t="s">
        <v>93</v>
      </c>
      <c r="C236" s="80"/>
      <c r="D236" s="61">
        <f t="shared" si="23"/>
        <v>310300</v>
      </c>
      <c r="E236" s="61">
        <v>19853</v>
      </c>
      <c r="F236" s="61">
        <f>5168+168132+15168+10452+17811+3360</f>
        <v>220091</v>
      </c>
      <c r="G236" s="61"/>
      <c r="H236" s="148">
        <f>'4.pielikums'!B199</f>
        <v>550244</v>
      </c>
      <c r="I236" s="46"/>
    </row>
    <row r="237" spans="1:10" ht="15" customHeight="1" x14ac:dyDescent="0.3">
      <c r="A237" s="38"/>
      <c r="B237" s="57" t="s">
        <v>198</v>
      </c>
      <c r="C237" s="80"/>
      <c r="D237" s="61">
        <f t="shared" si="23"/>
        <v>223781</v>
      </c>
      <c r="E237" s="61">
        <v>7050</v>
      </c>
      <c r="F237" s="61">
        <f>5161+403536+16176+6972+53433+1680</f>
        <v>486958</v>
      </c>
      <c r="G237" s="61"/>
      <c r="H237" s="148">
        <f>'4.pielikums'!B200</f>
        <v>717789</v>
      </c>
      <c r="I237" s="46"/>
    </row>
    <row r="238" spans="1:10" ht="15" customHeight="1" x14ac:dyDescent="0.3">
      <c r="A238" s="38"/>
      <c r="B238" s="57" t="s">
        <v>30</v>
      </c>
      <c r="C238" s="80"/>
      <c r="D238" s="61">
        <f t="shared" si="23"/>
        <v>154321</v>
      </c>
      <c r="E238" s="61">
        <v>3744</v>
      </c>
      <c r="F238" s="61">
        <f>5951+359352+9060+5937</f>
        <v>380300</v>
      </c>
      <c r="G238" s="61"/>
      <c r="H238" s="148">
        <f>'4.pielikums'!B201</f>
        <v>538365</v>
      </c>
      <c r="I238" s="46"/>
    </row>
    <row r="239" spans="1:10" ht="15" customHeight="1" x14ac:dyDescent="0.3">
      <c r="A239" s="38"/>
      <c r="B239" s="57" t="s">
        <v>145</v>
      </c>
      <c r="C239" s="80"/>
      <c r="D239" s="61">
        <f t="shared" si="23"/>
        <v>330468</v>
      </c>
      <c r="E239" s="61">
        <v>11250</v>
      </c>
      <c r="F239" s="61">
        <f>10636+552696+26004+20220+41559</f>
        <v>651115</v>
      </c>
      <c r="G239" s="61"/>
      <c r="H239" s="148">
        <f>'4.pielikums'!B202</f>
        <v>992833</v>
      </c>
      <c r="I239" s="46"/>
    </row>
    <row r="240" spans="1:10" ht="30" customHeight="1" x14ac:dyDescent="0.3">
      <c r="A240" s="38"/>
      <c r="B240" s="56" t="s">
        <v>146</v>
      </c>
      <c r="C240" s="93"/>
      <c r="D240" s="61">
        <f t="shared" si="23"/>
        <v>79172</v>
      </c>
      <c r="E240" s="61">
        <v>11550</v>
      </c>
      <c r="F240" s="61"/>
      <c r="G240" s="61"/>
      <c r="H240" s="148">
        <f>'4.pielikums'!B203</f>
        <v>90722</v>
      </c>
      <c r="I240" s="46"/>
    </row>
    <row r="241" spans="1:9" ht="15" customHeight="1" x14ac:dyDescent="0.3">
      <c r="A241" s="4"/>
      <c r="B241" s="58" t="s">
        <v>199</v>
      </c>
      <c r="C241" s="60">
        <f>SUM(C242:C247)</f>
        <v>0</v>
      </c>
      <c r="D241" s="60">
        <f t="shared" ref="D241:G241" si="24">SUM(D242:D247)</f>
        <v>2645568</v>
      </c>
      <c r="E241" s="60">
        <f>SUM(E242:E247)</f>
        <v>100905</v>
      </c>
      <c r="F241" s="60">
        <f t="shared" si="24"/>
        <v>3464364</v>
      </c>
      <c r="G241" s="60">
        <f t="shared" si="24"/>
        <v>0</v>
      </c>
      <c r="H241" s="148">
        <f>SUM(H242:H247)</f>
        <v>6210837</v>
      </c>
      <c r="I241" s="46"/>
    </row>
    <row r="242" spans="1:9" ht="15" customHeight="1" x14ac:dyDescent="0.3">
      <c r="A242" s="38"/>
      <c r="B242" s="57" t="s">
        <v>31</v>
      </c>
      <c r="C242" s="80"/>
      <c r="D242" s="61">
        <f t="shared" si="23"/>
        <v>477512</v>
      </c>
      <c r="E242" s="61">
        <v>18072</v>
      </c>
      <c r="F242" s="61">
        <f>701820+18828</f>
        <v>720648</v>
      </c>
      <c r="G242" s="61"/>
      <c r="H242" s="148">
        <f>'4.pielikums'!B204</f>
        <v>1216232</v>
      </c>
      <c r="I242" s="46"/>
    </row>
    <row r="243" spans="1:9" ht="15" customHeight="1" x14ac:dyDescent="0.3">
      <c r="A243" s="38"/>
      <c r="B243" s="57" t="s">
        <v>488</v>
      </c>
      <c r="C243" s="80"/>
      <c r="D243" s="61">
        <f t="shared" si="23"/>
        <v>340721</v>
      </c>
      <c r="E243" s="61">
        <v>9373</v>
      </c>
      <c r="F243" s="61">
        <f>17109+628932+25788+23748+1680</f>
        <v>697257</v>
      </c>
      <c r="G243" s="61"/>
      <c r="H243" s="148">
        <f>'4.pielikums'!B205</f>
        <v>1047351</v>
      </c>
      <c r="I243" s="46"/>
    </row>
    <row r="244" spans="1:9" ht="30" customHeight="1" x14ac:dyDescent="0.3">
      <c r="A244" s="38"/>
      <c r="B244" s="56" t="s">
        <v>200</v>
      </c>
      <c r="C244" s="93"/>
      <c r="D244" s="61">
        <f t="shared" si="23"/>
        <v>477977</v>
      </c>
      <c r="E244" s="61">
        <v>43789</v>
      </c>
      <c r="F244" s="61">
        <f>461124+13944+321564</f>
        <v>796632</v>
      </c>
      <c r="G244" s="61"/>
      <c r="H244" s="148">
        <f>'4.pielikums'!B206</f>
        <v>1318398</v>
      </c>
      <c r="I244" s="46"/>
    </row>
    <row r="245" spans="1:9" ht="15" customHeight="1" x14ac:dyDescent="0.3">
      <c r="A245" s="38"/>
      <c r="B245" s="56" t="s">
        <v>92</v>
      </c>
      <c r="C245" s="93"/>
      <c r="D245" s="61">
        <f t="shared" si="23"/>
        <v>431688</v>
      </c>
      <c r="E245" s="61">
        <f>3400+2430</f>
        <v>5830</v>
      </c>
      <c r="F245" s="61">
        <f>10605+257844+41184+12540+1680</f>
        <v>323853</v>
      </c>
      <c r="G245" s="61"/>
      <c r="H245" s="148">
        <f>'4.pielikums'!B207</f>
        <v>761371</v>
      </c>
      <c r="I245" s="46"/>
    </row>
    <row r="246" spans="1:9" ht="15" customHeight="1" x14ac:dyDescent="0.3">
      <c r="A246" s="38"/>
      <c r="B246" s="56" t="s">
        <v>87</v>
      </c>
      <c r="C246" s="93"/>
      <c r="D246" s="61">
        <f t="shared" si="23"/>
        <v>418541</v>
      </c>
      <c r="E246" s="61">
        <v>13301</v>
      </c>
      <c r="F246" s="61">
        <f>13485+334632+67188+15336+3360</f>
        <v>434001</v>
      </c>
      <c r="G246" s="61"/>
      <c r="H246" s="148">
        <f>'4.pielikums'!B208</f>
        <v>865843</v>
      </c>
      <c r="I246" s="46"/>
    </row>
    <row r="247" spans="1:9" ht="15" customHeight="1" x14ac:dyDescent="0.3">
      <c r="A247" s="38"/>
      <c r="B247" s="56" t="s">
        <v>94</v>
      </c>
      <c r="C247" s="93"/>
      <c r="D247" s="61">
        <f t="shared" si="23"/>
        <v>499129</v>
      </c>
      <c r="E247" s="61">
        <v>10540</v>
      </c>
      <c r="F247" s="61">
        <f>14529+420576+34680+18828+3360</f>
        <v>491973</v>
      </c>
      <c r="G247" s="61"/>
      <c r="H247" s="148">
        <f>'4.pielikums'!B209</f>
        <v>1001642</v>
      </c>
      <c r="I247" s="46"/>
    </row>
    <row r="248" spans="1:9" ht="30" customHeight="1" x14ac:dyDescent="0.3">
      <c r="A248" s="44"/>
      <c r="B248" s="123" t="s">
        <v>201</v>
      </c>
      <c r="C248" s="60">
        <f t="shared" ref="C248:G248" si="25">SUM(C249:C253)</f>
        <v>0</v>
      </c>
      <c r="D248" s="60">
        <f>SUM(D249:D253)</f>
        <v>921639</v>
      </c>
      <c r="E248" s="60">
        <f>SUM(E249:E253)</f>
        <v>143348</v>
      </c>
      <c r="F248" s="60">
        <f t="shared" si="25"/>
        <v>1277115</v>
      </c>
      <c r="G248" s="60">
        <f t="shared" si="25"/>
        <v>0</v>
      </c>
      <c r="H248" s="148">
        <f>SUM(H249:H253)</f>
        <v>2342102</v>
      </c>
      <c r="I248" s="46"/>
    </row>
    <row r="249" spans="1:9" ht="15" customHeight="1" x14ac:dyDescent="0.3">
      <c r="A249" s="38"/>
      <c r="B249" s="57" t="s">
        <v>32</v>
      </c>
      <c r="C249" s="80"/>
      <c r="D249" s="61">
        <f>H249-E249-G249-F249-C249</f>
        <v>160951</v>
      </c>
      <c r="E249" s="61">
        <v>13500</v>
      </c>
      <c r="F249" s="61">
        <f>698683+18020</f>
        <v>716703</v>
      </c>
      <c r="G249" s="61"/>
      <c r="H249" s="148">
        <f>'4.pielikums'!B210</f>
        <v>891154</v>
      </c>
      <c r="I249" s="46"/>
    </row>
    <row r="250" spans="1:9" ht="15" customHeight="1" x14ac:dyDescent="0.3">
      <c r="A250" s="38"/>
      <c r="B250" s="57" t="s">
        <v>33</v>
      </c>
      <c r="C250" s="80"/>
      <c r="D250" s="61">
        <f>H250-E250-G250-F250-C250</f>
        <v>189792</v>
      </c>
      <c r="E250" s="61">
        <v>11020</v>
      </c>
      <c r="F250" s="61">
        <f>84430+9000</f>
        <v>93430</v>
      </c>
      <c r="G250" s="61"/>
      <c r="H250" s="148">
        <f>'4.pielikums'!B211</f>
        <v>294242</v>
      </c>
      <c r="I250" s="46"/>
    </row>
    <row r="251" spans="1:9" ht="15" customHeight="1" x14ac:dyDescent="0.3">
      <c r="A251" s="38"/>
      <c r="B251" s="57" t="s">
        <v>34</v>
      </c>
      <c r="C251" s="80"/>
      <c r="D251" s="61">
        <f t="shared" si="23"/>
        <v>292184</v>
      </c>
      <c r="E251" s="61">
        <v>10800</v>
      </c>
      <c r="F251" s="61">
        <f>393455+15336</f>
        <v>408791</v>
      </c>
      <c r="G251" s="61"/>
      <c r="H251" s="148">
        <f>'4.pielikums'!B212</f>
        <v>711775</v>
      </c>
      <c r="I251" s="46"/>
    </row>
    <row r="252" spans="1:9" ht="15" customHeight="1" x14ac:dyDescent="0.3">
      <c r="A252" s="38"/>
      <c r="B252" s="57" t="s">
        <v>202</v>
      </c>
      <c r="C252" s="80"/>
      <c r="D252" s="61">
        <f t="shared" si="23"/>
        <v>135201</v>
      </c>
      <c r="E252" s="61">
        <v>105676</v>
      </c>
      <c r="F252" s="61"/>
      <c r="G252" s="61"/>
      <c r="H252" s="148">
        <f>'4.pielikums'!B213</f>
        <v>240877</v>
      </c>
      <c r="I252" s="46"/>
    </row>
    <row r="253" spans="1:9" ht="15" customHeight="1" x14ac:dyDescent="0.3">
      <c r="A253" s="38"/>
      <c r="B253" s="57" t="s">
        <v>203</v>
      </c>
      <c r="C253" s="80"/>
      <c r="D253" s="61">
        <f t="shared" si="23"/>
        <v>143511</v>
      </c>
      <c r="E253" s="61">
        <v>2352</v>
      </c>
      <c r="F253" s="61">
        <f>58191</f>
        <v>58191</v>
      </c>
      <c r="G253" s="61"/>
      <c r="H253" s="148">
        <f>'4.pielikums'!B214</f>
        <v>204054</v>
      </c>
      <c r="I253" s="46"/>
    </row>
    <row r="254" spans="1:9" ht="22.5" customHeight="1" x14ac:dyDescent="0.3">
      <c r="A254" s="4"/>
      <c r="B254" s="123" t="s">
        <v>204</v>
      </c>
      <c r="C254" s="60">
        <f t="shared" ref="C254:G254" si="26">C255</f>
        <v>0</v>
      </c>
      <c r="D254" s="60">
        <f>D255+D256</f>
        <v>316319</v>
      </c>
      <c r="E254" s="60">
        <f t="shared" si="26"/>
        <v>0</v>
      </c>
      <c r="F254" s="60">
        <f t="shared" si="26"/>
        <v>0</v>
      </c>
      <c r="G254" s="60">
        <f t="shared" si="26"/>
        <v>0</v>
      </c>
      <c r="H254" s="148">
        <f>H255+H256</f>
        <v>316319</v>
      </c>
      <c r="I254" s="46"/>
    </row>
    <row r="255" spans="1:9" ht="24" customHeight="1" x14ac:dyDescent="0.3">
      <c r="A255" s="40"/>
      <c r="B255" s="85" t="s">
        <v>91</v>
      </c>
      <c r="C255" s="93"/>
      <c r="D255" s="61">
        <f t="shared" si="23"/>
        <v>280445</v>
      </c>
      <c r="E255" s="61"/>
      <c r="F255" s="61"/>
      <c r="G255" s="61"/>
      <c r="H255" s="148">
        <f>'4.pielikums'!B215</f>
        <v>280445</v>
      </c>
      <c r="I255" s="46"/>
    </row>
    <row r="256" spans="1:9" ht="24" customHeight="1" x14ac:dyDescent="0.3">
      <c r="A256" s="40"/>
      <c r="B256" s="85" t="s">
        <v>602</v>
      </c>
      <c r="C256" s="93"/>
      <c r="D256" s="61">
        <f t="shared" si="23"/>
        <v>35874</v>
      </c>
      <c r="E256" s="61"/>
      <c r="F256" s="61"/>
      <c r="G256" s="61"/>
      <c r="H256" s="148">
        <f>'4.pielikums'!B289</f>
        <v>35874</v>
      </c>
      <c r="I256" s="46"/>
    </row>
    <row r="257" spans="1:10" ht="30" customHeight="1" x14ac:dyDescent="0.3">
      <c r="A257" s="43"/>
      <c r="B257" s="123" t="s">
        <v>205</v>
      </c>
      <c r="C257" s="60">
        <f t="shared" ref="C257:H257" si="27">SUM(C258:C293)</f>
        <v>313464</v>
      </c>
      <c r="D257" s="60">
        <f t="shared" si="27"/>
        <v>827270</v>
      </c>
      <c r="E257" s="60">
        <f t="shared" si="27"/>
        <v>7600</v>
      </c>
      <c r="F257" s="60">
        <f t="shared" si="27"/>
        <v>1480408</v>
      </c>
      <c r="G257" s="60">
        <f t="shared" si="27"/>
        <v>406347</v>
      </c>
      <c r="H257" s="148">
        <f t="shared" si="27"/>
        <v>3035089</v>
      </c>
      <c r="I257" s="46"/>
      <c r="J257" s="46"/>
    </row>
    <row r="258" spans="1:10" ht="15" customHeight="1" x14ac:dyDescent="0.3">
      <c r="A258" s="37"/>
      <c r="B258" s="56" t="s">
        <v>96</v>
      </c>
      <c r="C258" s="93"/>
      <c r="D258" s="61">
        <f>H258-E258-G258-F258-C258</f>
        <v>46921</v>
      </c>
      <c r="E258" s="61">
        <v>5000</v>
      </c>
      <c r="F258" s="61"/>
      <c r="G258" s="61"/>
      <c r="H258" s="148">
        <f>'4.pielikums'!B216</f>
        <v>51921</v>
      </c>
      <c r="I258" s="46"/>
    </row>
    <row r="259" spans="1:10" ht="15" customHeight="1" x14ac:dyDescent="0.3">
      <c r="A259" s="38"/>
      <c r="B259" s="63" t="s">
        <v>45</v>
      </c>
      <c r="C259" s="93">
        <v>0</v>
      </c>
      <c r="D259" s="61">
        <f>H259-E259-G259-F259-C259</f>
        <v>0</v>
      </c>
      <c r="E259" s="61"/>
      <c r="F259" s="61">
        <v>0</v>
      </c>
      <c r="G259" s="61"/>
      <c r="H259" s="148">
        <f>'4.pielikums'!B217</f>
        <v>0</v>
      </c>
      <c r="I259" s="46"/>
    </row>
    <row r="260" spans="1:10" ht="15" customHeight="1" x14ac:dyDescent="0.3">
      <c r="A260" s="38"/>
      <c r="B260" s="120" t="s">
        <v>126</v>
      </c>
      <c r="C260" s="93"/>
      <c r="D260" s="61">
        <f t="shared" si="23"/>
        <v>20872</v>
      </c>
      <c r="E260" s="61"/>
      <c r="F260" s="61"/>
      <c r="G260" s="61"/>
      <c r="H260" s="148">
        <f>'4.pielikums'!B218</f>
        <v>20872</v>
      </c>
      <c r="I260" s="46"/>
    </row>
    <row r="261" spans="1:10" ht="21" customHeight="1" x14ac:dyDescent="0.3">
      <c r="A261" s="38"/>
      <c r="B261" s="129" t="s">
        <v>112</v>
      </c>
      <c r="C261" s="93"/>
      <c r="D261" s="61">
        <f t="shared" si="23"/>
        <v>22630</v>
      </c>
      <c r="E261" s="61"/>
      <c r="F261" s="61"/>
      <c r="G261" s="61"/>
      <c r="H261" s="148">
        <f>'4.pielikums'!B219</f>
        <v>22630</v>
      </c>
      <c r="I261" s="46"/>
    </row>
    <row r="262" spans="1:10" ht="15" customHeight="1" x14ac:dyDescent="0.3">
      <c r="A262" s="37"/>
      <c r="B262" s="129" t="s">
        <v>113</v>
      </c>
      <c r="C262" s="93"/>
      <c r="D262" s="61">
        <f t="shared" si="23"/>
        <v>24304</v>
      </c>
      <c r="E262" s="61"/>
      <c r="F262" s="61"/>
      <c r="G262" s="61"/>
      <c r="H262" s="148">
        <f>'4.pielikums'!B220</f>
        <v>24304</v>
      </c>
      <c r="I262" s="46"/>
    </row>
    <row r="263" spans="1:10" ht="15" customHeight="1" x14ac:dyDescent="0.3">
      <c r="A263" s="37"/>
      <c r="B263" s="129" t="s">
        <v>109</v>
      </c>
      <c r="C263" s="93"/>
      <c r="D263" s="61">
        <f t="shared" si="23"/>
        <v>24679</v>
      </c>
      <c r="E263" s="61"/>
      <c r="F263" s="61"/>
      <c r="G263" s="61"/>
      <c r="H263" s="148">
        <f>'4.pielikums'!B221</f>
        <v>24679</v>
      </c>
      <c r="I263" s="46"/>
    </row>
    <row r="264" spans="1:10" ht="15" customHeight="1" x14ac:dyDescent="0.3">
      <c r="A264" s="37"/>
      <c r="B264" s="129" t="s">
        <v>129</v>
      </c>
      <c r="C264" s="93"/>
      <c r="D264" s="61">
        <f t="shared" si="23"/>
        <v>22522</v>
      </c>
      <c r="E264" s="61"/>
      <c r="F264" s="61"/>
      <c r="G264" s="61"/>
      <c r="H264" s="148">
        <f>'4.pielikums'!B222</f>
        <v>22522</v>
      </c>
      <c r="I264" s="46"/>
    </row>
    <row r="265" spans="1:10" ht="15" customHeight="1" x14ac:dyDescent="0.3">
      <c r="A265" s="37"/>
      <c r="B265" s="129" t="s">
        <v>111</v>
      </c>
      <c r="C265" s="93"/>
      <c r="D265" s="61">
        <f>H265-E265-G265-F265-C265</f>
        <v>21779</v>
      </c>
      <c r="E265" s="61"/>
      <c r="F265" s="61"/>
      <c r="G265" s="61"/>
      <c r="H265" s="148">
        <f>'4.pielikums'!B223</f>
        <v>21779</v>
      </c>
      <c r="I265" s="46"/>
    </row>
    <row r="266" spans="1:10" ht="15" customHeight="1" x14ac:dyDescent="0.3">
      <c r="A266" s="37"/>
      <c r="B266" s="130" t="s">
        <v>119</v>
      </c>
      <c r="C266" s="93"/>
      <c r="D266" s="61">
        <f t="shared" si="23"/>
        <v>106677</v>
      </c>
      <c r="E266" s="61"/>
      <c r="F266" s="61"/>
      <c r="G266" s="61"/>
      <c r="H266" s="148">
        <f>'4.pielikums'!B224</f>
        <v>106677</v>
      </c>
      <c r="I266" s="46"/>
    </row>
    <row r="267" spans="1:10" ht="15" customHeight="1" x14ac:dyDescent="0.3">
      <c r="A267" s="37"/>
      <c r="B267" s="129" t="s">
        <v>86</v>
      </c>
      <c r="C267" s="93"/>
      <c r="D267" s="61">
        <f t="shared" si="23"/>
        <v>72452</v>
      </c>
      <c r="E267" s="61">
        <v>1700</v>
      </c>
      <c r="F267" s="61"/>
      <c r="G267" s="61"/>
      <c r="H267" s="148">
        <f>'4.pielikums'!B225</f>
        <v>74152</v>
      </c>
      <c r="I267" s="46"/>
    </row>
    <row r="268" spans="1:10" ht="15" customHeight="1" x14ac:dyDescent="0.3">
      <c r="A268" s="37"/>
      <c r="B268" s="129" t="s">
        <v>130</v>
      </c>
      <c r="C268" s="93"/>
      <c r="D268" s="61">
        <f t="shared" si="23"/>
        <v>28319</v>
      </c>
      <c r="E268" s="61"/>
      <c r="F268" s="61"/>
      <c r="G268" s="61"/>
      <c r="H268" s="148">
        <f>'4.pielikums'!B226</f>
        <v>28319</v>
      </c>
      <c r="I268" s="46"/>
    </row>
    <row r="269" spans="1:10" ht="15" customHeight="1" x14ac:dyDescent="0.3">
      <c r="A269" s="37"/>
      <c r="B269" s="129" t="s">
        <v>125</v>
      </c>
      <c r="C269" s="93"/>
      <c r="D269" s="61">
        <f t="shared" si="23"/>
        <v>23340</v>
      </c>
      <c r="E269" s="61"/>
      <c r="F269" s="61"/>
      <c r="G269" s="61"/>
      <c r="H269" s="148">
        <f>'4.pielikums'!B227</f>
        <v>23340</v>
      </c>
      <c r="I269" s="46"/>
    </row>
    <row r="270" spans="1:10" ht="15" customHeight="1" x14ac:dyDescent="0.3">
      <c r="A270" s="37"/>
      <c r="B270" s="129" t="s">
        <v>127</v>
      </c>
      <c r="C270" s="93"/>
      <c r="D270" s="61">
        <f t="shared" si="23"/>
        <v>49918</v>
      </c>
      <c r="E270" s="61">
        <v>900</v>
      </c>
      <c r="F270" s="61"/>
      <c r="G270" s="61"/>
      <c r="H270" s="148">
        <f>'4.pielikums'!B228</f>
        <v>50818</v>
      </c>
      <c r="I270" s="46"/>
    </row>
    <row r="271" spans="1:10" ht="15" customHeight="1" x14ac:dyDescent="0.3">
      <c r="A271" s="37"/>
      <c r="B271" s="129" t="s">
        <v>118</v>
      </c>
      <c r="C271" s="93"/>
      <c r="D271" s="61">
        <f t="shared" si="23"/>
        <v>27789</v>
      </c>
      <c r="E271" s="61"/>
      <c r="F271" s="61"/>
      <c r="G271" s="61"/>
      <c r="H271" s="148">
        <f>'4.pielikums'!B229</f>
        <v>27789</v>
      </c>
      <c r="I271" s="46"/>
    </row>
    <row r="272" spans="1:10" ht="15" customHeight="1" x14ac:dyDescent="0.3">
      <c r="A272" s="37"/>
      <c r="B272" s="56" t="s">
        <v>35</v>
      </c>
      <c r="C272" s="93"/>
      <c r="D272" s="61">
        <f t="shared" si="23"/>
        <v>15700</v>
      </c>
      <c r="E272" s="61"/>
      <c r="F272" s="61"/>
      <c r="G272" s="61"/>
      <c r="H272" s="148">
        <f>'4.pielikums'!B230</f>
        <v>15700</v>
      </c>
      <c r="I272" s="46"/>
    </row>
    <row r="273" spans="1:9" ht="30" customHeight="1" x14ac:dyDescent="0.3">
      <c r="A273" s="37"/>
      <c r="B273" s="85" t="s">
        <v>59</v>
      </c>
      <c r="C273" s="93"/>
      <c r="D273" s="61">
        <f>H273-E273-G273-F273-C273</f>
        <v>150000</v>
      </c>
      <c r="E273" s="61"/>
      <c r="F273" s="61"/>
      <c r="G273" s="61"/>
      <c r="H273" s="148">
        <f>'4.pielikums'!B231</f>
        <v>150000</v>
      </c>
      <c r="I273" s="46"/>
    </row>
    <row r="274" spans="1:9" ht="30" customHeight="1" x14ac:dyDescent="0.3">
      <c r="A274" s="37"/>
      <c r="B274" s="85" t="s">
        <v>678</v>
      </c>
      <c r="C274" s="93">
        <v>6629</v>
      </c>
      <c r="D274" s="61">
        <f t="shared" ref="D274:D293" si="28">H274-E274-G274-F274-C274</f>
        <v>0</v>
      </c>
      <c r="E274" s="61"/>
      <c r="F274" s="61"/>
      <c r="G274" s="61"/>
      <c r="H274" s="148">
        <f>'4.pielikums'!B232</f>
        <v>6629</v>
      </c>
      <c r="I274" s="46"/>
    </row>
    <row r="275" spans="1:9" ht="30" customHeight="1" x14ac:dyDescent="0.3">
      <c r="A275" s="40"/>
      <c r="B275" s="85" t="s">
        <v>636</v>
      </c>
      <c r="C275" s="93">
        <v>7454</v>
      </c>
      <c r="D275" s="61">
        <f t="shared" si="28"/>
        <v>19806</v>
      </c>
      <c r="E275" s="61"/>
      <c r="F275" s="61"/>
      <c r="G275" s="61"/>
      <c r="H275" s="148">
        <f>'4.pielikums'!B233</f>
        <v>27260</v>
      </c>
      <c r="I275" s="46"/>
    </row>
    <row r="276" spans="1:9" ht="30" customHeight="1" x14ac:dyDescent="0.3">
      <c r="A276" s="40"/>
      <c r="B276" s="63" t="s">
        <v>88</v>
      </c>
      <c r="C276" s="93">
        <v>15304</v>
      </c>
      <c r="D276" s="61">
        <f t="shared" si="28"/>
        <v>0</v>
      </c>
      <c r="E276" s="61"/>
      <c r="F276" s="61"/>
      <c r="G276" s="61"/>
      <c r="H276" s="148">
        <f>'4.pielikums'!B234</f>
        <v>15304</v>
      </c>
      <c r="I276" s="46"/>
    </row>
    <row r="277" spans="1:9" ht="30" customHeight="1" x14ac:dyDescent="0.3">
      <c r="A277" s="40"/>
      <c r="B277" s="63" t="s">
        <v>679</v>
      </c>
      <c r="C277" s="93">
        <v>17449</v>
      </c>
      <c r="D277" s="61">
        <f t="shared" si="28"/>
        <v>17449</v>
      </c>
      <c r="E277" s="61"/>
      <c r="F277" s="61">
        <v>51727</v>
      </c>
      <c r="G277" s="61"/>
      <c r="H277" s="148">
        <f>'4.pielikums'!B242</f>
        <v>86625</v>
      </c>
      <c r="I277" s="46"/>
    </row>
    <row r="278" spans="1:9" ht="61.5" customHeight="1" x14ac:dyDescent="0.3">
      <c r="A278" s="40"/>
      <c r="B278" s="176" t="s">
        <v>683</v>
      </c>
      <c r="C278" s="93">
        <v>63246</v>
      </c>
      <c r="D278" s="61">
        <f t="shared" si="28"/>
        <v>0</v>
      </c>
      <c r="E278" s="61"/>
      <c r="F278" s="61"/>
      <c r="G278" s="61"/>
      <c r="H278" s="148">
        <f>'4.pielikums'!B236</f>
        <v>63246</v>
      </c>
      <c r="I278" s="46"/>
    </row>
    <row r="279" spans="1:9" ht="61.5" customHeight="1" x14ac:dyDescent="0.3">
      <c r="A279" s="40"/>
      <c r="B279" s="176" t="s">
        <v>685</v>
      </c>
      <c r="C279" s="93">
        <v>24476</v>
      </c>
      <c r="D279" s="61">
        <f t="shared" si="28"/>
        <v>9052</v>
      </c>
      <c r="E279" s="61"/>
      <c r="F279" s="61"/>
      <c r="G279" s="61"/>
      <c r="H279" s="148">
        <f>'4.pielikums'!B277</f>
        <v>33528</v>
      </c>
      <c r="I279" s="46"/>
    </row>
    <row r="280" spans="1:9" ht="29.25" customHeight="1" x14ac:dyDescent="0.3">
      <c r="A280" s="40"/>
      <c r="B280" s="176" t="s">
        <v>680</v>
      </c>
      <c r="C280" s="93">
        <v>10793</v>
      </c>
      <c r="D280" s="61">
        <f t="shared" si="28"/>
        <v>0</v>
      </c>
      <c r="E280" s="61"/>
      <c r="F280" s="61">
        <v>20000</v>
      </c>
      <c r="G280" s="61"/>
      <c r="H280" s="148">
        <f>'4.pielikums'!B270</f>
        <v>30793</v>
      </c>
      <c r="I280" s="46"/>
    </row>
    <row r="281" spans="1:9" ht="42.75" customHeight="1" x14ac:dyDescent="0.3">
      <c r="A281" s="40"/>
      <c r="B281" s="176" t="s">
        <v>682</v>
      </c>
      <c r="C281" s="93">
        <v>33358</v>
      </c>
      <c r="D281" s="61">
        <f t="shared" si="28"/>
        <v>0</v>
      </c>
      <c r="E281" s="61"/>
      <c r="F281" s="61">
        <v>41520</v>
      </c>
      <c r="G281" s="61"/>
      <c r="H281" s="148">
        <f>'4.pielikums'!B271</f>
        <v>74878</v>
      </c>
      <c r="I281" s="46"/>
    </row>
    <row r="282" spans="1:9" ht="45" customHeight="1" x14ac:dyDescent="0.3">
      <c r="A282" s="40"/>
      <c r="B282" s="176" t="s">
        <v>677</v>
      </c>
      <c r="C282" s="93">
        <v>7450</v>
      </c>
      <c r="D282" s="61">
        <f t="shared" si="28"/>
        <v>0</v>
      </c>
      <c r="E282" s="61"/>
      <c r="F282" s="61"/>
      <c r="G282" s="61"/>
      <c r="H282" s="148">
        <f>'4.pielikums'!B235</f>
        <v>7450</v>
      </c>
      <c r="I282" s="46"/>
    </row>
    <row r="283" spans="1:9" ht="59.4" customHeight="1" x14ac:dyDescent="0.3">
      <c r="A283" s="40"/>
      <c r="B283" s="176" t="s">
        <v>684</v>
      </c>
      <c r="C283" s="93"/>
      <c r="D283" s="61">
        <f t="shared" si="28"/>
        <v>0</v>
      </c>
      <c r="E283" s="61"/>
      <c r="F283" s="61">
        <v>10275</v>
      </c>
      <c r="G283" s="61"/>
      <c r="H283" s="148">
        <f>'4.pielikums'!B237</f>
        <v>10275</v>
      </c>
      <c r="I283" s="46"/>
    </row>
    <row r="284" spans="1:9" ht="66.75" customHeight="1" x14ac:dyDescent="0.3">
      <c r="A284" s="40"/>
      <c r="B284" s="177" t="s">
        <v>671</v>
      </c>
      <c r="C284" s="93">
        <v>0</v>
      </c>
      <c r="D284" s="61">
        <f t="shared" si="28"/>
        <v>0</v>
      </c>
      <c r="E284" s="61"/>
      <c r="F284" s="61">
        <v>668552</v>
      </c>
      <c r="G284" s="61">
        <v>117980</v>
      </c>
      <c r="H284" s="148">
        <f>'4.pielikums'!B269</f>
        <v>786532</v>
      </c>
      <c r="I284" s="46"/>
    </row>
    <row r="285" spans="1:9" ht="37.5" customHeight="1" x14ac:dyDescent="0.3">
      <c r="A285" s="40"/>
      <c r="B285" s="177" t="s">
        <v>676</v>
      </c>
      <c r="C285" s="93">
        <v>50105</v>
      </c>
      <c r="D285" s="61">
        <f t="shared" si="28"/>
        <v>17160</v>
      </c>
      <c r="E285" s="61"/>
      <c r="F285" s="61"/>
      <c r="G285" s="61"/>
      <c r="H285" s="148">
        <f>'4.pielikums'!B283</f>
        <v>67265</v>
      </c>
      <c r="I285" s="46"/>
    </row>
    <row r="286" spans="1:9" ht="51.75" customHeight="1" x14ac:dyDescent="0.3">
      <c r="A286" s="40"/>
      <c r="B286" s="177" t="s">
        <v>688</v>
      </c>
      <c r="C286" s="93">
        <v>4386</v>
      </c>
      <c r="D286" s="61">
        <f t="shared" si="28"/>
        <v>1324</v>
      </c>
      <c r="E286" s="61"/>
      <c r="F286" s="61"/>
      <c r="G286" s="61"/>
      <c r="H286" s="148">
        <f>'4.pielikums'!B238</f>
        <v>5710</v>
      </c>
      <c r="I286" s="46"/>
    </row>
    <row r="287" spans="1:9" ht="38.25" customHeight="1" x14ac:dyDescent="0.3">
      <c r="A287" s="40"/>
      <c r="B287" s="177" t="s">
        <v>640</v>
      </c>
      <c r="C287" s="93">
        <v>50000</v>
      </c>
      <c r="D287" s="61">
        <f t="shared" si="28"/>
        <v>16919</v>
      </c>
      <c r="E287" s="61"/>
      <c r="F287" s="61"/>
      <c r="G287" s="61"/>
      <c r="H287" s="148">
        <f>'4.pielikums'!B241</f>
        <v>66919</v>
      </c>
      <c r="I287" s="46"/>
    </row>
    <row r="288" spans="1:9" ht="35.25" customHeight="1" x14ac:dyDescent="0.3">
      <c r="A288" s="40"/>
      <c r="B288" s="177" t="s">
        <v>660</v>
      </c>
      <c r="C288" s="93"/>
      <c r="D288" s="61">
        <f t="shared" si="28"/>
        <v>0</v>
      </c>
      <c r="E288" s="61"/>
      <c r="F288" s="61">
        <v>612779</v>
      </c>
      <c r="G288" s="61">
        <v>288367</v>
      </c>
      <c r="H288" s="148">
        <f>'4.pielikums'!B284</f>
        <v>901146</v>
      </c>
      <c r="I288" s="46"/>
    </row>
    <row r="289" spans="1:9" ht="36.75" customHeight="1" x14ac:dyDescent="0.3">
      <c r="A289" s="40"/>
      <c r="B289" s="177" t="s">
        <v>545</v>
      </c>
      <c r="C289" s="93">
        <v>7351</v>
      </c>
      <c r="D289" s="61">
        <f t="shared" si="28"/>
        <v>0</v>
      </c>
      <c r="E289" s="61"/>
      <c r="F289" s="61"/>
      <c r="G289" s="61"/>
      <c r="H289" s="148">
        <f>'4.pielikums'!B282</f>
        <v>7351</v>
      </c>
      <c r="I289" s="46"/>
    </row>
    <row r="290" spans="1:9" ht="36.75" customHeight="1" x14ac:dyDescent="0.3">
      <c r="A290" s="40"/>
      <c r="B290" s="177" t="s">
        <v>596</v>
      </c>
      <c r="C290" s="93">
        <v>7824</v>
      </c>
      <c r="D290" s="61">
        <f t="shared" si="28"/>
        <v>0</v>
      </c>
      <c r="E290" s="61"/>
      <c r="F290" s="61">
        <v>70000</v>
      </c>
      <c r="G290" s="61"/>
      <c r="H290" s="148">
        <f>'4.pielikums'!B239</f>
        <v>77824</v>
      </c>
      <c r="I290" s="46"/>
    </row>
    <row r="291" spans="1:9" ht="94.5" customHeight="1" x14ac:dyDescent="0.3">
      <c r="A291" s="40"/>
      <c r="B291" s="177" t="s">
        <v>756</v>
      </c>
      <c r="C291" s="93"/>
      <c r="D291" s="61">
        <f t="shared" si="28"/>
        <v>52600</v>
      </c>
      <c r="E291" s="61"/>
      <c r="F291" s="61"/>
      <c r="G291" s="61"/>
      <c r="H291" s="148">
        <f>'4.pielikums'!B240</f>
        <v>52600</v>
      </c>
      <c r="I291" s="46"/>
    </row>
    <row r="292" spans="1:9" ht="32.25" customHeight="1" x14ac:dyDescent="0.3">
      <c r="A292" s="40"/>
      <c r="B292" s="177" t="s">
        <v>598</v>
      </c>
      <c r="C292" s="93">
        <v>7639</v>
      </c>
      <c r="D292" s="61">
        <f t="shared" si="28"/>
        <v>0</v>
      </c>
      <c r="E292" s="61"/>
      <c r="F292" s="61">
        <v>5555</v>
      </c>
      <c r="G292" s="61"/>
      <c r="H292" s="148">
        <f>'4.pielikums'!B281</f>
        <v>13194</v>
      </c>
      <c r="I292" s="46"/>
    </row>
    <row r="293" spans="1:9" ht="47.25" customHeight="1" x14ac:dyDescent="0.3">
      <c r="A293" s="40"/>
      <c r="B293" s="177" t="s">
        <v>673</v>
      </c>
      <c r="C293" s="93"/>
      <c r="D293" s="61">
        <f t="shared" si="28"/>
        <v>35058</v>
      </c>
      <c r="E293" s="61"/>
      <c r="F293" s="61"/>
      <c r="G293" s="61"/>
      <c r="H293" s="148">
        <f>'4.pielikums'!B290</f>
        <v>35058</v>
      </c>
      <c r="I293" s="46"/>
    </row>
    <row r="294" spans="1:9" ht="18.75" customHeight="1" x14ac:dyDescent="0.3">
      <c r="A294" s="4" t="s">
        <v>206</v>
      </c>
      <c r="B294" s="58" t="s">
        <v>207</v>
      </c>
      <c r="C294" s="60">
        <f>C295+C296</f>
        <v>7868</v>
      </c>
      <c r="D294" s="60">
        <f>H294-E294-G294-F294-C294</f>
        <v>3512233</v>
      </c>
      <c r="E294" s="60">
        <f>E295+E296</f>
        <v>2118606</v>
      </c>
      <c r="F294" s="60">
        <f>F295+F296</f>
        <v>1295294</v>
      </c>
      <c r="G294" s="60">
        <f>G295+G296</f>
        <v>0</v>
      </c>
      <c r="H294" s="148">
        <f>H295+H296</f>
        <v>6934001</v>
      </c>
      <c r="I294" s="46"/>
    </row>
    <row r="295" spans="1:9" ht="18" customHeight="1" x14ac:dyDescent="0.3">
      <c r="A295" s="4"/>
      <c r="B295" s="57" t="s">
        <v>37</v>
      </c>
      <c r="C295" s="80"/>
      <c r="D295" s="61">
        <f t="shared" si="23"/>
        <v>241064</v>
      </c>
      <c r="E295" s="61">
        <v>10000</v>
      </c>
      <c r="F295" s="61"/>
      <c r="G295" s="61"/>
      <c r="H295" s="148">
        <f>'4.pielikums'!B243</f>
        <v>251064</v>
      </c>
      <c r="I295" s="46"/>
    </row>
    <row r="296" spans="1:9" ht="30" customHeight="1" x14ac:dyDescent="0.3">
      <c r="A296" s="43"/>
      <c r="B296" s="123" t="s">
        <v>208</v>
      </c>
      <c r="C296" s="60">
        <f>SUM(C297:C311)</f>
        <v>7868</v>
      </c>
      <c r="D296" s="60">
        <f>H296-E296-G296-F296-C296</f>
        <v>3271169</v>
      </c>
      <c r="E296" s="60">
        <f>SUM(E297:E311)</f>
        <v>2108606</v>
      </c>
      <c r="F296" s="60">
        <f>SUM(F297:F311)</f>
        <v>1295294</v>
      </c>
      <c r="G296" s="60">
        <f>SUM(G297:G311)</f>
        <v>0</v>
      </c>
      <c r="H296" s="148">
        <f>SUM(H297:H311)</f>
        <v>6682937</v>
      </c>
      <c r="I296" s="46"/>
    </row>
    <row r="297" spans="1:9" ht="15" customHeight="1" x14ac:dyDescent="0.3">
      <c r="A297" s="4"/>
      <c r="B297" s="57" t="s">
        <v>102</v>
      </c>
      <c r="C297" s="80"/>
      <c r="D297" s="61">
        <f>H297-E297-G297-F297-C297</f>
        <v>688015</v>
      </c>
      <c r="E297" s="61">
        <v>1477</v>
      </c>
      <c r="F297" s="61"/>
      <c r="G297" s="61"/>
      <c r="H297" s="148">
        <f>'4.pielikums'!B244</f>
        <v>689492</v>
      </c>
      <c r="I297" s="46"/>
    </row>
    <row r="298" spans="1:9" ht="15" customHeight="1" x14ac:dyDescent="0.3">
      <c r="A298" s="4"/>
      <c r="B298" s="57" t="s">
        <v>148</v>
      </c>
      <c r="C298" s="80"/>
      <c r="D298" s="61">
        <f t="shared" si="23"/>
        <v>1006880</v>
      </c>
      <c r="E298" s="61"/>
      <c r="F298" s="61">
        <v>392014</v>
      </c>
      <c r="G298" s="61"/>
      <c r="H298" s="148">
        <f>'4.pielikums'!B245</f>
        <v>1398894</v>
      </c>
      <c r="I298" s="46"/>
    </row>
    <row r="299" spans="1:9" ht="15" customHeight="1" x14ac:dyDescent="0.3">
      <c r="A299" s="4"/>
      <c r="B299" s="57" t="s">
        <v>99</v>
      </c>
      <c r="C299" s="80"/>
      <c r="D299" s="61">
        <f t="shared" ref="D299:D308" si="29">H299-E299-G299-F299-C299</f>
        <v>19120</v>
      </c>
      <c r="E299" s="61"/>
      <c r="F299" s="61"/>
      <c r="G299" s="61"/>
      <c r="H299" s="148">
        <f>'4.pielikums'!B246</f>
        <v>19120</v>
      </c>
      <c r="I299" s="46"/>
    </row>
    <row r="300" spans="1:9" ht="15" customHeight="1" x14ac:dyDescent="0.3">
      <c r="A300" s="4"/>
      <c r="B300" s="57" t="s">
        <v>38</v>
      </c>
      <c r="C300" s="80"/>
      <c r="D300" s="61">
        <f>H300-E300-G300-F300-C300</f>
        <v>12938</v>
      </c>
      <c r="E300" s="61">
        <v>8689</v>
      </c>
      <c r="F300" s="61"/>
      <c r="G300" s="61"/>
      <c r="H300" s="148">
        <f>'4.pielikums'!B247</f>
        <v>21627</v>
      </c>
      <c r="I300" s="46"/>
    </row>
    <row r="301" spans="1:9" ht="15" customHeight="1" x14ac:dyDescent="0.3">
      <c r="A301" s="4"/>
      <c r="B301" s="57" t="s">
        <v>44</v>
      </c>
      <c r="C301" s="80"/>
      <c r="D301" s="61">
        <f t="shared" si="29"/>
        <v>249882</v>
      </c>
      <c r="E301" s="61">
        <v>1300</v>
      </c>
      <c r="F301" s="61">
        <v>79833</v>
      </c>
      <c r="G301" s="61"/>
      <c r="H301" s="148">
        <f>'4.pielikums'!B248</f>
        <v>331015</v>
      </c>
      <c r="I301" s="46"/>
    </row>
    <row r="302" spans="1:9" ht="15" customHeight="1" x14ac:dyDescent="0.3">
      <c r="A302" s="38"/>
      <c r="B302" s="57" t="s">
        <v>36</v>
      </c>
      <c r="C302" s="80"/>
      <c r="D302" s="61">
        <f t="shared" si="29"/>
        <v>460434</v>
      </c>
      <c r="E302" s="61">
        <v>1460316</v>
      </c>
      <c r="F302" s="61">
        <v>34128</v>
      </c>
      <c r="G302" s="61"/>
      <c r="H302" s="148">
        <f>'4.pielikums'!B249</f>
        <v>1954878</v>
      </c>
      <c r="I302" s="46"/>
    </row>
    <row r="303" spans="1:9" ht="15" customHeight="1" x14ac:dyDescent="0.3">
      <c r="A303" s="38"/>
      <c r="B303" s="56" t="s">
        <v>69</v>
      </c>
      <c r="C303" s="93"/>
      <c r="D303" s="61">
        <f t="shared" si="29"/>
        <v>115081</v>
      </c>
      <c r="E303" s="61">
        <v>244817</v>
      </c>
      <c r="F303" s="61"/>
      <c r="G303" s="61"/>
      <c r="H303" s="148">
        <f>'4.pielikums'!B250</f>
        <v>359898</v>
      </c>
      <c r="I303" s="46"/>
    </row>
    <row r="304" spans="1:9" ht="15" customHeight="1" x14ac:dyDescent="0.3">
      <c r="A304" s="38"/>
      <c r="B304" s="122" t="s">
        <v>71</v>
      </c>
      <c r="C304" s="93"/>
      <c r="D304" s="61">
        <f t="shared" si="29"/>
        <v>103887</v>
      </c>
      <c r="E304" s="61">
        <v>155098</v>
      </c>
      <c r="F304" s="61"/>
      <c r="G304" s="61"/>
      <c r="H304" s="148">
        <f>'4.pielikums'!B251</f>
        <v>258985</v>
      </c>
      <c r="I304" s="46"/>
    </row>
    <row r="305" spans="1:9" ht="21" customHeight="1" x14ac:dyDescent="0.3">
      <c r="A305" s="38"/>
      <c r="B305" s="122" t="s">
        <v>70</v>
      </c>
      <c r="C305" s="93"/>
      <c r="D305" s="61">
        <f t="shared" si="29"/>
        <v>151901</v>
      </c>
      <c r="E305" s="61">
        <v>203456</v>
      </c>
      <c r="F305" s="61"/>
      <c r="G305" s="61"/>
      <c r="H305" s="148">
        <f>'4.pielikums'!B252</f>
        <v>355357</v>
      </c>
      <c r="I305" s="46"/>
    </row>
    <row r="306" spans="1:9" ht="31.5" customHeight="1" x14ac:dyDescent="0.3">
      <c r="A306" s="38"/>
      <c r="B306" s="85" t="s">
        <v>62</v>
      </c>
      <c r="C306" s="93"/>
      <c r="D306" s="61">
        <f t="shared" si="29"/>
        <v>247459</v>
      </c>
      <c r="E306" s="61">
        <v>24815</v>
      </c>
      <c r="F306" s="61"/>
      <c r="G306" s="61"/>
      <c r="H306" s="148">
        <f>'4.pielikums'!B253</f>
        <v>272274</v>
      </c>
      <c r="I306" s="46"/>
    </row>
    <row r="307" spans="1:9" ht="30" customHeight="1" x14ac:dyDescent="0.3">
      <c r="A307" s="38"/>
      <c r="B307" s="64" t="s">
        <v>103</v>
      </c>
      <c r="C307" s="93"/>
      <c r="D307" s="61">
        <f t="shared" si="29"/>
        <v>71906</v>
      </c>
      <c r="E307" s="61"/>
      <c r="F307" s="61"/>
      <c r="G307" s="61"/>
      <c r="H307" s="148">
        <f>'4.pielikums'!B254</f>
        <v>71906</v>
      </c>
      <c r="I307" s="46"/>
    </row>
    <row r="308" spans="1:9" ht="30" customHeight="1" x14ac:dyDescent="0.3">
      <c r="A308" s="38"/>
      <c r="B308" s="63" t="s">
        <v>104</v>
      </c>
      <c r="C308" s="93"/>
      <c r="D308" s="61">
        <f t="shared" si="29"/>
        <v>140284</v>
      </c>
      <c r="E308" s="61">
        <v>8638</v>
      </c>
      <c r="F308" s="61"/>
      <c r="G308" s="61"/>
      <c r="H308" s="148">
        <f>'4.pielikums'!B255</f>
        <v>148922</v>
      </c>
      <c r="I308" s="46"/>
    </row>
    <row r="309" spans="1:9" ht="30" customHeight="1" x14ac:dyDescent="0.3">
      <c r="A309" s="38"/>
      <c r="B309" s="85" t="s">
        <v>210</v>
      </c>
      <c r="C309" s="93"/>
      <c r="D309" s="61">
        <f>H309-E309-G309-F309-C309</f>
        <v>0</v>
      </c>
      <c r="E309" s="61"/>
      <c r="F309" s="61">
        <v>778685</v>
      </c>
      <c r="G309" s="61"/>
      <c r="H309" s="148">
        <f>'4.pielikums'!B256</f>
        <v>778685</v>
      </c>
      <c r="I309" s="46"/>
    </row>
    <row r="310" spans="1:9" ht="30" customHeight="1" x14ac:dyDescent="0.3">
      <c r="A310" s="38"/>
      <c r="B310" s="56" t="s">
        <v>659</v>
      </c>
      <c r="C310" s="93">
        <v>7868</v>
      </c>
      <c r="D310" s="61">
        <f>H310-E310-G310-F310-C310</f>
        <v>232</v>
      </c>
      <c r="E310" s="61"/>
      <c r="F310" s="61">
        <v>10634</v>
      </c>
      <c r="G310" s="61"/>
      <c r="H310" s="148">
        <f>'4.pielikums'!B257</f>
        <v>18734</v>
      </c>
      <c r="I310" s="46"/>
    </row>
    <row r="311" spans="1:9" ht="30" customHeight="1" x14ac:dyDescent="0.3">
      <c r="A311" s="38"/>
      <c r="B311" s="122" t="s">
        <v>209</v>
      </c>
      <c r="C311" s="93"/>
      <c r="D311" s="61">
        <f>H311-E311-G311-F311-C311</f>
        <v>3150</v>
      </c>
      <c r="E311" s="61"/>
      <c r="F311" s="61"/>
      <c r="G311" s="61"/>
      <c r="H311" s="148">
        <f>'4.pielikums'!B258+'4.pielikums'!B259+'4.pielikums'!B260+'4.pielikums'!B261</f>
        <v>3150</v>
      </c>
      <c r="I311" s="46"/>
    </row>
    <row r="312" spans="1:9" x14ac:dyDescent="0.3">
      <c r="B312" s="83"/>
      <c r="C312" s="70"/>
      <c r="H312" s="94"/>
      <c r="I312" s="46"/>
    </row>
    <row r="313" spans="1:9" ht="18" customHeight="1" x14ac:dyDescent="0.3">
      <c r="A313" s="209" t="s">
        <v>757</v>
      </c>
      <c r="B313" s="209"/>
      <c r="C313" s="209"/>
      <c r="D313" s="209"/>
      <c r="E313" s="209"/>
      <c r="F313" s="209"/>
      <c r="G313" s="209"/>
      <c r="H313" s="209"/>
    </row>
    <row r="314" spans="1:9" x14ac:dyDescent="0.3">
      <c r="B314" s="66"/>
      <c r="C314" s="70"/>
      <c r="H314"/>
    </row>
    <row r="315" spans="1:9" x14ac:dyDescent="0.3">
      <c r="H315"/>
    </row>
    <row r="316" spans="1:9" x14ac:dyDescent="0.3">
      <c r="H316"/>
    </row>
    <row r="317" spans="1:9" x14ac:dyDescent="0.3">
      <c r="H317"/>
    </row>
    <row r="318" spans="1:9" x14ac:dyDescent="0.3">
      <c r="H318"/>
    </row>
    <row r="319" spans="1:9" x14ac:dyDescent="0.3">
      <c r="H319"/>
    </row>
    <row r="320" spans="1:9" x14ac:dyDescent="0.3">
      <c r="H320"/>
    </row>
    <row r="321" spans="8:8" x14ac:dyDescent="0.3">
      <c r="H321"/>
    </row>
    <row r="322" spans="8:8" x14ac:dyDescent="0.3">
      <c r="H322"/>
    </row>
    <row r="323" spans="8:8" x14ac:dyDescent="0.3">
      <c r="H323"/>
    </row>
    <row r="324" spans="8:8" x14ac:dyDescent="0.3">
      <c r="H324"/>
    </row>
    <row r="325" spans="8:8" x14ac:dyDescent="0.3">
      <c r="H325"/>
    </row>
    <row r="326" spans="8:8" x14ac:dyDescent="0.3">
      <c r="H326"/>
    </row>
    <row r="327" spans="8:8" x14ac:dyDescent="0.3">
      <c r="H327"/>
    </row>
    <row r="328" spans="8:8" x14ac:dyDescent="0.3">
      <c r="H328"/>
    </row>
    <row r="329" spans="8:8" x14ac:dyDescent="0.3">
      <c r="H329"/>
    </row>
    <row r="330" spans="8:8" x14ac:dyDescent="0.3">
      <c r="H330"/>
    </row>
    <row r="331" spans="8:8" x14ac:dyDescent="0.3">
      <c r="H331"/>
    </row>
    <row r="332" spans="8:8" x14ac:dyDescent="0.3">
      <c r="H332"/>
    </row>
    <row r="333" spans="8:8" x14ac:dyDescent="0.3">
      <c r="H333"/>
    </row>
  </sheetData>
  <mergeCells count="4">
    <mergeCell ref="H9:H10"/>
    <mergeCell ref="B9:B10"/>
    <mergeCell ref="A9:A10"/>
    <mergeCell ref="A313:H313"/>
  </mergeCells>
  <pageMargins left="0.25" right="0.25" top="0.75" bottom="0.75" header="0.3" footer="0.3"/>
  <pageSetup paperSize="9" scale="5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R304"/>
  <sheetViews>
    <sheetView tabSelected="1" zoomScale="77" zoomScaleNormal="77" workbookViewId="0">
      <pane xSplit="1" ySplit="12" topLeftCell="B291" activePane="bottomRight" state="frozen"/>
      <selection pane="topRight" activeCell="B1" sqref="B1"/>
      <selection pane="bottomLeft" activeCell="A13" sqref="A13"/>
      <selection pane="bottomRight" activeCell="A285" sqref="A285"/>
    </sheetView>
  </sheetViews>
  <sheetFormatPr defaultColWidth="9.109375" defaultRowHeight="13.8" x14ac:dyDescent="0.25"/>
  <cols>
    <col min="1" max="1" width="44" style="66" customWidth="1"/>
    <col min="2" max="2" width="14.5546875" style="39" customWidth="1"/>
    <col min="3" max="3" width="15.88671875" style="39" customWidth="1"/>
    <col min="4" max="4" width="13.109375" style="39" customWidth="1"/>
    <col min="5" max="5" width="13" style="39" customWidth="1"/>
    <col min="6" max="6" width="13.6640625" style="39" customWidth="1"/>
    <col min="7" max="7" width="14.5546875" style="66" customWidth="1"/>
    <col min="8" max="8" width="12.5546875" style="66" customWidth="1"/>
    <col min="9" max="9" width="11.44140625" style="66" customWidth="1"/>
    <col min="10" max="10" width="10.5546875" style="66" customWidth="1"/>
    <col min="11" max="11" width="11.33203125" style="66" customWidth="1"/>
    <col min="12" max="12" width="15.6640625" style="66" customWidth="1"/>
    <col min="13" max="13" width="13.5546875" style="66" customWidth="1"/>
    <col min="14" max="14" width="14.33203125" style="66" customWidth="1"/>
    <col min="15" max="15" width="14" style="66" customWidth="1"/>
    <col min="16" max="16" width="11.33203125" style="39" bestFit="1" customWidth="1"/>
    <col min="17" max="17" width="10.109375" style="39" bestFit="1" customWidth="1"/>
    <col min="18" max="16384" width="9.109375" style="39"/>
  </cols>
  <sheetData>
    <row r="1" spans="1:16" ht="15.6" x14ac:dyDescent="0.3">
      <c r="A1" s="204"/>
      <c r="B1" s="204"/>
      <c r="C1" s="204"/>
      <c r="D1" s="204"/>
      <c r="E1" s="1"/>
      <c r="F1" s="3"/>
      <c r="G1" s="95"/>
      <c r="H1" s="95"/>
      <c r="I1" s="95"/>
      <c r="J1" s="95"/>
      <c r="K1" s="95"/>
      <c r="L1" s="95"/>
      <c r="M1" s="96"/>
      <c r="N1" s="95"/>
      <c r="O1" s="95"/>
    </row>
    <row r="2" spans="1:16" ht="15.75" customHeight="1" x14ac:dyDescent="0.3">
      <c r="A2" s="204"/>
      <c r="B2" s="204"/>
      <c r="C2" s="204"/>
      <c r="D2" s="204"/>
      <c r="E2" s="1"/>
      <c r="F2" s="3"/>
      <c r="G2" s="95"/>
      <c r="H2" s="95"/>
      <c r="I2" s="95"/>
      <c r="J2" s="95"/>
      <c r="K2" s="95"/>
      <c r="L2" s="95"/>
      <c r="M2" s="96"/>
      <c r="N2" s="95"/>
      <c r="O2" s="95"/>
      <c r="P2" s="95" t="s">
        <v>759</v>
      </c>
    </row>
    <row r="3" spans="1:16" ht="16.5" customHeight="1" x14ac:dyDescent="0.3">
      <c r="A3" s="204"/>
      <c r="B3" s="204"/>
      <c r="C3" s="204"/>
      <c r="D3" s="204"/>
      <c r="E3" s="1"/>
      <c r="F3" s="3"/>
      <c r="G3" s="95"/>
      <c r="H3" s="95"/>
      <c r="I3" s="95"/>
      <c r="J3" s="95"/>
      <c r="K3" s="95"/>
      <c r="L3" s="95"/>
      <c r="M3" s="96"/>
      <c r="N3" s="95"/>
      <c r="O3" s="95"/>
      <c r="P3" s="95" t="s">
        <v>523</v>
      </c>
    </row>
    <row r="4" spans="1:16" ht="15" customHeight="1" x14ac:dyDescent="0.3">
      <c r="A4" s="204"/>
      <c r="B4" s="204"/>
      <c r="C4" s="204"/>
      <c r="D4" s="204"/>
      <c r="E4" s="1"/>
      <c r="F4" s="3"/>
      <c r="G4" s="95"/>
      <c r="H4" s="95"/>
      <c r="I4" s="95"/>
      <c r="J4" s="95"/>
      <c r="K4" s="95"/>
      <c r="L4" s="95"/>
      <c r="M4" s="96"/>
      <c r="N4" s="95"/>
      <c r="O4" s="95"/>
      <c r="P4" s="95" t="s">
        <v>760</v>
      </c>
    </row>
    <row r="5" spans="1:16" ht="15" customHeight="1" x14ac:dyDescent="0.3">
      <c r="A5" s="204"/>
      <c r="B5" s="204"/>
      <c r="C5" s="204"/>
      <c r="D5" s="204"/>
      <c r="E5" s="1"/>
      <c r="F5" s="3"/>
      <c r="G5" s="95"/>
      <c r="H5" s="95"/>
      <c r="I5" s="95"/>
      <c r="J5" s="95"/>
      <c r="K5" s="95"/>
      <c r="L5" s="95"/>
      <c r="M5" s="96"/>
      <c r="N5" s="95"/>
      <c r="O5" s="95"/>
      <c r="P5" s="95" t="s">
        <v>704</v>
      </c>
    </row>
    <row r="6" spans="1:16" ht="15" customHeight="1" x14ac:dyDescent="0.3">
      <c r="A6" s="204"/>
      <c r="B6" s="204"/>
      <c r="C6" s="204"/>
      <c r="D6" s="204"/>
      <c r="E6" s="114" t="s">
        <v>761</v>
      </c>
      <c r="G6" s="95"/>
      <c r="H6" s="95"/>
      <c r="I6" s="95"/>
      <c r="J6" s="95"/>
      <c r="K6" s="95"/>
      <c r="L6" s="95"/>
      <c r="M6" s="96"/>
      <c r="N6" s="95"/>
      <c r="O6" s="95"/>
    </row>
    <row r="7" spans="1:16" ht="15" customHeight="1" x14ac:dyDescent="0.25">
      <c r="A7" s="204"/>
      <c r="B7" s="204"/>
      <c r="C7" s="204"/>
      <c r="D7" s="204"/>
      <c r="E7" s="1"/>
      <c r="F7" s="3"/>
      <c r="G7" s="96"/>
      <c r="H7" s="96"/>
      <c r="I7" s="96"/>
      <c r="J7" s="96"/>
      <c r="K7" s="96"/>
      <c r="L7" s="96"/>
      <c r="M7" s="96"/>
      <c r="N7" s="96"/>
      <c r="O7" s="96"/>
    </row>
    <row r="8" spans="1:16" ht="15" customHeight="1" x14ac:dyDescent="0.35">
      <c r="A8" s="204"/>
      <c r="B8" s="139"/>
      <c r="C8" s="139"/>
      <c r="D8" s="139"/>
      <c r="E8" s="139"/>
      <c r="F8" s="139"/>
      <c r="G8" s="97"/>
      <c r="H8" s="97"/>
      <c r="I8" s="97"/>
      <c r="J8" s="97"/>
      <c r="K8" s="97"/>
      <c r="L8" s="97"/>
      <c r="M8" s="97"/>
      <c r="N8" s="97"/>
      <c r="O8" s="97"/>
    </row>
    <row r="9" spans="1:16" ht="15" customHeight="1" x14ac:dyDescent="0.25">
      <c r="A9" s="206"/>
      <c r="C9" s="205"/>
      <c r="D9" s="205"/>
      <c r="E9" s="205"/>
      <c r="F9" s="3"/>
    </row>
    <row r="10" spans="1:16" s="47" customFormat="1" ht="15" customHeight="1" x14ac:dyDescent="0.3">
      <c r="A10" s="198" t="s">
        <v>0</v>
      </c>
      <c r="B10" s="208" t="s">
        <v>628</v>
      </c>
      <c r="C10" s="207"/>
      <c r="D10" s="207"/>
      <c r="E10" s="207"/>
      <c r="F10" s="207"/>
      <c r="G10" s="207"/>
      <c r="H10" s="207"/>
      <c r="I10" s="207"/>
      <c r="J10" s="207"/>
      <c r="K10" s="207"/>
      <c r="L10" s="207"/>
      <c r="M10" s="207"/>
      <c r="N10" s="207"/>
      <c r="O10" s="207"/>
    </row>
    <row r="11" spans="1:16" s="47" customFormat="1" ht="15" customHeight="1" x14ac:dyDescent="0.3">
      <c r="A11" s="198"/>
      <c r="B11" s="208"/>
      <c r="C11" s="50">
        <v>1000</v>
      </c>
      <c r="D11" s="50">
        <v>1100</v>
      </c>
      <c r="E11" s="50">
        <v>1200</v>
      </c>
      <c r="F11" s="50">
        <v>2000</v>
      </c>
      <c r="G11" s="98">
        <v>2100</v>
      </c>
      <c r="H11" s="98">
        <v>2200</v>
      </c>
      <c r="I11" s="98">
        <v>2300</v>
      </c>
      <c r="J11" s="98">
        <v>2400</v>
      </c>
      <c r="K11" s="98">
        <v>2500</v>
      </c>
      <c r="L11" s="98">
        <v>3000</v>
      </c>
      <c r="M11" s="98">
        <v>4000</v>
      </c>
      <c r="N11" s="98">
        <v>5000</v>
      </c>
      <c r="O11" s="99">
        <v>6000</v>
      </c>
      <c r="P11" s="99">
        <v>7000</v>
      </c>
    </row>
    <row r="12" spans="1:16" s="47" customFormat="1" ht="141" customHeight="1" x14ac:dyDescent="0.3">
      <c r="A12" s="198"/>
      <c r="B12" s="208"/>
      <c r="C12" s="140" t="s">
        <v>627</v>
      </c>
      <c r="D12" s="141" t="s">
        <v>614</v>
      </c>
      <c r="E12" s="141" t="s">
        <v>615</v>
      </c>
      <c r="F12" s="141" t="s">
        <v>616</v>
      </c>
      <c r="G12" s="99" t="s">
        <v>617</v>
      </c>
      <c r="H12" s="99" t="s">
        <v>618</v>
      </c>
      <c r="I12" s="99" t="s">
        <v>619</v>
      </c>
      <c r="J12" s="99" t="s">
        <v>620</v>
      </c>
      <c r="K12" s="99" t="s">
        <v>621</v>
      </c>
      <c r="L12" s="99" t="s">
        <v>622</v>
      </c>
      <c r="M12" s="99" t="s">
        <v>623</v>
      </c>
      <c r="N12" s="99" t="s">
        <v>624</v>
      </c>
      <c r="O12" s="159" t="s">
        <v>625</v>
      </c>
      <c r="P12" s="99" t="s">
        <v>626</v>
      </c>
    </row>
    <row r="13" spans="1:16" ht="24.75" customHeight="1" x14ac:dyDescent="0.35">
      <c r="A13" s="181" t="s">
        <v>1</v>
      </c>
      <c r="B13" s="192">
        <f>SUM(C13+F13,L13,M13,N13,O13,P13)</f>
        <v>1494473</v>
      </c>
      <c r="C13" s="136">
        <f>D13+E13</f>
        <v>1252302</v>
      </c>
      <c r="D13" s="136">
        <v>1031586</v>
      </c>
      <c r="E13" s="136">
        <v>220716</v>
      </c>
      <c r="F13" s="136">
        <f>SUM(G13,H13,I13,J13,K13)</f>
        <v>217171</v>
      </c>
      <c r="G13" s="100">
        <v>1300</v>
      </c>
      <c r="H13" s="100">
        <v>186924</v>
      </c>
      <c r="I13" s="100">
        <v>27447</v>
      </c>
      <c r="J13" s="100"/>
      <c r="K13" s="100">
        <v>1500</v>
      </c>
      <c r="L13" s="100"/>
      <c r="M13" s="100"/>
      <c r="N13" s="100">
        <v>25000</v>
      </c>
      <c r="O13" s="160"/>
      <c r="P13" s="167"/>
    </row>
    <row r="14" spans="1:16" ht="22.2" customHeight="1" x14ac:dyDescent="0.35">
      <c r="A14" s="181" t="s">
        <v>2</v>
      </c>
      <c r="B14" s="192">
        <f t="shared" ref="B14:B77" si="0">SUM(C14+F14,L14,M14,N14,O14,P14)</f>
        <v>186403</v>
      </c>
      <c r="C14" s="136">
        <f t="shared" ref="C14:C77" si="1">D14+E14</f>
        <v>186403</v>
      </c>
      <c r="D14" s="136">
        <v>150823</v>
      </c>
      <c r="E14" s="136">
        <v>35580</v>
      </c>
      <c r="F14" s="136">
        <f t="shared" ref="F14:F77" si="2">SUM(G14,H14,I14,J14,K14)</f>
        <v>0</v>
      </c>
      <c r="G14" s="100"/>
      <c r="H14" s="100"/>
      <c r="I14" s="100"/>
      <c r="J14" s="100"/>
      <c r="K14" s="100"/>
      <c r="L14" s="100"/>
      <c r="M14" s="100"/>
      <c r="N14" s="100"/>
      <c r="O14" s="160"/>
      <c r="P14" s="167"/>
    </row>
    <row r="15" spans="1:16" ht="36.6" customHeight="1" x14ac:dyDescent="0.35">
      <c r="A15" s="181" t="s">
        <v>98</v>
      </c>
      <c r="B15" s="192">
        <f t="shared" si="0"/>
        <v>261850</v>
      </c>
      <c r="C15" s="136">
        <f t="shared" si="1"/>
        <v>0</v>
      </c>
      <c r="D15" s="136"/>
      <c r="E15" s="136"/>
      <c r="F15" s="136">
        <f t="shared" si="2"/>
        <v>0</v>
      </c>
      <c r="G15" s="100"/>
      <c r="H15" s="100"/>
      <c r="I15" s="100"/>
      <c r="J15" s="100"/>
      <c r="K15" s="100"/>
      <c r="L15" s="100"/>
      <c r="M15" s="100"/>
      <c r="N15" s="100"/>
      <c r="O15" s="160">
        <v>261850</v>
      </c>
      <c r="P15" s="167"/>
    </row>
    <row r="16" spans="1:16" ht="19.2" customHeight="1" x14ac:dyDescent="0.35">
      <c r="A16" s="181" t="s">
        <v>128</v>
      </c>
      <c r="B16" s="192">
        <f t="shared" si="0"/>
        <v>26400</v>
      </c>
      <c r="C16" s="136">
        <f t="shared" si="1"/>
        <v>26400</v>
      </c>
      <c r="D16" s="136">
        <v>21360</v>
      </c>
      <c r="E16" s="136">
        <v>5040</v>
      </c>
      <c r="F16" s="136">
        <f t="shared" si="2"/>
        <v>0</v>
      </c>
      <c r="G16" s="100"/>
      <c r="H16" s="100"/>
      <c r="I16" s="100"/>
      <c r="J16" s="100"/>
      <c r="K16" s="100"/>
      <c r="L16" s="100"/>
      <c r="M16" s="100"/>
      <c r="N16" s="100"/>
      <c r="O16" s="160"/>
      <c r="P16" s="167"/>
    </row>
    <row r="17" spans="1:16" ht="36.75" customHeight="1" x14ac:dyDescent="0.35">
      <c r="A17" s="181" t="s">
        <v>591</v>
      </c>
      <c r="B17" s="192">
        <f t="shared" si="0"/>
        <v>80000</v>
      </c>
      <c r="C17" s="136">
        <f t="shared" si="1"/>
        <v>80000</v>
      </c>
      <c r="D17" s="136"/>
      <c r="E17" s="136">
        <v>80000</v>
      </c>
      <c r="F17" s="136">
        <f t="shared" si="2"/>
        <v>0</v>
      </c>
      <c r="G17" s="100"/>
      <c r="H17" s="100"/>
      <c r="I17" s="100"/>
      <c r="J17" s="100"/>
      <c r="K17" s="100"/>
      <c r="L17" s="100"/>
      <c r="M17" s="100"/>
      <c r="N17" s="100"/>
      <c r="O17" s="160"/>
      <c r="P17" s="167"/>
    </row>
    <row r="18" spans="1:16" ht="18.600000000000001" customHeight="1" x14ac:dyDescent="0.35">
      <c r="A18" s="181" t="s">
        <v>519</v>
      </c>
      <c r="B18" s="192">
        <f t="shared" si="0"/>
        <v>1313</v>
      </c>
      <c r="C18" s="136">
        <f t="shared" si="1"/>
        <v>1113</v>
      </c>
      <c r="D18" s="136">
        <v>900</v>
      </c>
      <c r="E18" s="136">
        <v>213</v>
      </c>
      <c r="F18" s="136">
        <f t="shared" si="2"/>
        <v>200</v>
      </c>
      <c r="G18" s="100"/>
      <c r="H18" s="100"/>
      <c r="I18" s="100">
        <v>200</v>
      </c>
      <c r="J18" s="100"/>
      <c r="K18" s="100"/>
      <c r="L18" s="100"/>
      <c r="M18" s="100"/>
      <c r="N18" s="100"/>
      <c r="O18" s="160"/>
      <c r="P18" s="167"/>
    </row>
    <row r="19" spans="1:16" ht="23.25" customHeight="1" x14ac:dyDescent="0.35">
      <c r="A19" s="181" t="s">
        <v>538</v>
      </c>
      <c r="B19" s="192">
        <f t="shared" si="0"/>
        <v>142262</v>
      </c>
      <c r="C19" s="136">
        <f t="shared" si="1"/>
        <v>125288</v>
      </c>
      <c r="D19" s="136">
        <v>100940</v>
      </c>
      <c r="E19" s="136">
        <v>24348</v>
      </c>
      <c r="F19" s="136">
        <f t="shared" si="2"/>
        <v>16974</v>
      </c>
      <c r="G19" s="100">
        <v>20</v>
      </c>
      <c r="H19" s="100">
        <v>6023</v>
      </c>
      <c r="I19" s="100">
        <v>10472</v>
      </c>
      <c r="J19" s="100"/>
      <c r="K19" s="100">
        <v>459</v>
      </c>
      <c r="L19" s="100"/>
      <c r="M19" s="100"/>
      <c r="N19" s="100"/>
      <c r="O19" s="160"/>
      <c r="P19" s="167"/>
    </row>
    <row r="20" spans="1:16" ht="15" customHeight="1" x14ac:dyDescent="0.35">
      <c r="A20" s="73" t="s">
        <v>539</v>
      </c>
      <c r="B20" s="192">
        <f t="shared" si="0"/>
        <v>130285</v>
      </c>
      <c r="C20" s="136">
        <f t="shared" si="1"/>
        <v>104413</v>
      </c>
      <c r="D20" s="136">
        <f>89943-3900-1560</f>
        <v>84483</v>
      </c>
      <c r="E20" s="136">
        <f>21218-920-368</f>
        <v>19930</v>
      </c>
      <c r="F20" s="136">
        <f t="shared" si="2"/>
        <v>25872</v>
      </c>
      <c r="G20" s="100"/>
      <c r="H20" s="100">
        <v>9986</v>
      </c>
      <c r="I20" s="100">
        <v>15576</v>
      </c>
      <c r="J20" s="100"/>
      <c r="K20" s="100">
        <v>310</v>
      </c>
      <c r="L20" s="100"/>
      <c r="M20" s="100"/>
      <c r="N20" s="100"/>
      <c r="O20" s="160"/>
      <c r="P20" s="167"/>
    </row>
    <row r="21" spans="1:16" ht="15" customHeight="1" x14ac:dyDescent="0.35">
      <c r="A21" s="73" t="s">
        <v>540</v>
      </c>
      <c r="B21" s="192">
        <f t="shared" si="0"/>
        <v>94418</v>
      </c>
      <c r="C21" s="136">
        <f t="shared" si="1"/>
        <v>75213</v>
      </c>
      <c r="D21" s="136">
        <v>60006</v>
      </c>
      <c r="E21" s="136">
        <v>15207</v>
      </c>
      <c r="F21" s="136">
        <f t="shared" si="2"/>
        <v>19205</v>
      </c>
      <c r="G21" s="100">
        <v>40</v>
      </c>
      <c r="H21" s="100">
        <v>9420</v>
      </c>
      <c r="I21" s="100">
        <v>9435</v>
      </c>
      <c r="J21" s="100"/>
      <c r="K21" s="100">
        <v>310</v>
      </c>
      <c r="L21" s="100"/>
      <c r="M21" s="100"/>
      <c r="N21" s="100"/>
      <c r="O21" s="160"/>
      <c r="P21" s="167"/>
    </row>
    <row r="22" spans="1:16" ht="18" customHeight="1" x14ac:dyDescent="0.35">
      <c r="A22" s="73" t="s">
        <v>541</v>
      </c>
      <c r="B22" s="192">
        <f t="shared" si="0"/>
        <v>145377</v>
      </c>
      <c r="C22" s="136">
        <f t="shared" si="1"/>
        <v>114583</v>
      </c>
      <c r="D22" s="136">
        <v>92554</v>
      </c>
      <c r="E22" s="136">
        <v>22029</v>
      </c>
      <c r="F22" s="136">
        <f t="shared" si="2"/>
        <v>30794</v>
      </c>
      <c r="G22" s="100"/>
      <c r="H22" s="100">
        <v>16860</v>
      </c>
      <c r="I22" s="100">
        <v>13110</v>
      </c>
      <c r="J22" s="100"/>
      <c r="K22" s="100">
        <v>824</v>
      </c>
      <c r="L22" s="100"/>
      <c r="M22" s="100"/>
      <c r="N22" s="100"/>
      <c r="O22" s="160"/>
      <c r="P22" s="167"/>
    </row>
    <row r="23" spans="1:16" ht="36" customHeight="1" x14ac:dyDescent="0.35">
      <c r="A23" s="73" t="s">
        <v>66</v>
      </c>
      <c r="B23" s="192">
        <f t="shared" si="0"/>
        <v>79626</v>
      </c>
      <c r="C23" s="136">
        <f t="shared" si="1"/>
        <v>67900</v>
      </c>
      <c r="D23" s="136">
        <v>54900</v>
      </c>
      <c r="E23" s="136">
        <v>13000</v>
      </c>
      <c r="F23" s="136">
        <f t="shared" si="2"/>
        <v>11726</v>
      </c>
      <c r="G23" s="100">
        <v>32</v>
      </c>
      <c r="H23" s="100">
        <v>10294</v>
      </c>
      <c r="I23" s="100">
        <v>1400</v>
      </c>
      <c r="J23" s="100"/>
      <c r="K23" s="100"/>
      <c r="L23" s="100"/>
      <c r="M23" s="100"/>
      <c r="N23" s="100"/>
      <c r="O23" s="160"/>
      <c r="P23" s="167"/>
    </row>
    <row r="24" spans="1:16" ht="24.75" customHeight="1" x14ac:dyDescent="0.35">
      <c r="A24" s="73" t="s">
        <v>3</v>
      </c>
      <c r="B24" s="192">
        <f t="shared" si="0"/>
        <v>5000</v>
      </c>
      <c r="C24" s="136">
        <f t="shared" si="1"/>
        <v>0</v>
      </c>
      <c r="D24" s="136"/>
      <c r="E24" s="136"/>
      <c r="F24" s="136">
        <f t="shared" si="2"/>
        <v>5000</v>
      </c>
      <c r="G24" s="100"/>
      <c r="H24" s="100">
        <v>5000</v>
      </c>
      <c r="I24" s="100"/>
      <c r="J24" s="100"/>
      <c r="K24" s="100"/>
      <c r="L24" s="100"/>
      <c r="M24" s="100"/>
      <c r="N24" s="100"/>
      <c r="O24" s="160"/>
      <c r="P24" s="167"/>
    </row>
    <row r="25" spans="1:16" ht="21.75" customHeight="1" x14ac:dyDescent="0.35">
      <c r="A25" s="73" t="s">
        <v>4</v>
      </c>
      <c r="B25" s="192">
        <f t="shared" si="0"/>
        <v>51098</v>
      </c>
      <c r="C25" s="136">
        <f t="shared" si="1"/>
        <v>0</v>
      </c>
      <c r="D25" s="136"/>
      <c r="E25" s="136"/>
      <c r="F25" s="136">
        <f t="shared" si="2"/>
        <v>51098</v>
      </c>
      <c r="G25" s="100"/>
      <c r="H25" s="100">
        <v>51098</v>
      </c>
      <c r="I25" s="100"/>
      <c r="J25" s="100"/>
      <c r="K25" s="100"/>
      <c r="L25" s="100"/>
      <c r="M25" s="100"/>
      <c r="N25" s="100"/>
      <c r="O25" s="160"/>
      <c r="P25" s="167"/>
    </row>
    <row r="26" spans="1:16" ht="30" customHeight="1" x14ac:dyDescent="0.35">
      <c r="A26" s="73" t="s">
        <v>100</v>
      </c>
      <c r="B26" s="192">
        <f t="shared" si="0"/>
        <v>586196</v>
      </c>
      <c r="C26" s="136">
        <f t="shared" si="1"/>
        <v>0</v>
      </c>
      <c r="D26" s="136"/>
      <c r="E26" s="136"/>
      <c r="F26" s="136">
        <f t="shared" si="2"/>
        <v>18134</v>
      </c>
      <c r="G26" s="100"/>
      <c r="H26" s="100">
        <v>18134</v>
      </c>
      <c r="I26" s="100"/>
      <c r="J26" s="100"/>
      <c r="K26" s="100"/>
      <c r="L26" s="100"/>
      <c r="M26" s="100">
        <v>568062</v>
      </c>
      <c r="N26" s="100"/>
      <c r="O26" s="160"/>
      <c r="P26" s="167"/>
    </row>
    <row r="27" spans="1:16" ht="21.6" customHeight="1" x14ac:dyDescent="0.35">
      <c r="A27" s="73" t="s">
        <v>5</v>
      </c>
      <c r="B27" s="192">
        <f t="shared" si="0"/>
        <v>88412</v>
      </c>
      <c r="C27" s="136">
        <f t="shared" si="1"/>
        <v>68168</v>
      </c>
      <c r="D27" s="136">
        <v>54284</v>
      </c>
      <c r="E27" s="136">
        <v>13884</v>
      </c>
      <c r="F27" s="136">
        <f t="shared" si="2"/>
        <v>20244</v>
      </c>
      <c r="G27" s="100">
        <v>310</v>
      </c>
      <c r="H27" s="100">
        <v>15589</v>
      </c>
      <c r="I27" s="100">
        <v>4345</v>
      </c>
      <c r="J27" s="100"/>
      <c r="K27" s="100"/>
      <c r="L27" s="100"/>
      <c r="M27" s="100"/>
      <c r="N27" s="100"/>
      <c r="O27" s="160"/>
      <c r="P27" s="167"/>
    </row>
    <row r="28" spans="1:16" ht="21.6" customHeight="1" x14ac:dyDescent="0.35">
      <c r="A28" s="73" t="s">
        <v>6</v>
      </c>
      <c r="B28" s="192">
        <f t="shared" si="0"/>
        <v>191036</v>
      </c>
      <c r="C28" s="136">
        <f t="shared" si="1"/>
        <v>163231</v>
      </c>
      <c r="D28" s="136">
        <v>130631</v>
      </c>
      <c r="E28" s="136">
        <v>32600</v>
      </c>
      <c r="F28" s="136">
        <f t="shared" si="2"/>
        <v>22555</v>
      </c>
      <c r="G28" s="100">
        <v>130</v>
      </c>
      <c r="H28" s="100">
        <v>11905</v>
      </c>
      <c r="I28" s="100">
        <v>10460</v>
      </c>
      <c r="J28" s="100"/>
      <c r="K28" s="100">
        <v>60</v>
      </c>
      <c r="L28" s="100"/>
      <c r="M28" s="100"/>
      <c r="N28" s="100">
        <v>5250</v>
      </c>
      <c r="O28" s="160"/>
      <c r="P28" s="167"/>
    </row>
    <row r="29" spans="1:16" ht="22.5" customHeight="1" x14ac:dyDescent="0.35">
      <c r="A29" s="181" t="s">
        <v>42</v>
      </c>
      <c r="B29" s="192">
        <f t="shared" si="0"/>
        <v>76756</v>
      </c>
      <c r="C29" s="136">
        <f t="shared" si="1"/>
        <v>73288</v>
      </c>
      <c r="D29" s="136">
        <v>58688</v>
      </c>
      <c r="E29" s="136">
        <v>14600</v>
      </c>
      <c r="F29" s="136">
        <f t="shared" si="2"/>
        <v>3468</v>
      </c>
      <c r="G29" s="100"/>
      <c r="H29" s="100">
        <v>2818</v>
      </c>
      <c r="I29" s="100">
        <v>650</v>
      </c>
      <c r="J29" s="100"/>
      <c r="K29" s="100"/>
      <c r="L29" s="100"/>
      <c r="M29" s="100"/>
      <c r="N29" s="100"/>
      <c r="O29" s="160"/>
      <c r="P29" s="167"/>
    </row>
    <row r="30" spans="1:16" ht="24" customHeight="1" x14ac:dyDescent="0.35">
      <c r="A30" s="73" t="s">
        <v>7</v>
      </c>
      <c r="B30" s="192">
        <f t="shared" si="0"/>
        <v>61102</v>
      </c>
      <c r="C30" s="136">
        <f t="shared" si="1"/>
        <v>57549</v>
      </c>
      <c r="D30" s="136">
        <v>46116</v>
      </c>
      <c r="E30" s="136">
        <v>11433</v>
      </c>
      <c r="F30" s="136">
        <f t="shared" si="2"/>
        <v>3553</v>
      </c>
      <c r="G30" s="100">
        <v>90</v>
      </c>
      <c r="H30" s="100">
        <v>443</v>
      </c>
      <c r="I30" s="100">
        <v>3020</v>
      </c>
      <c r="J30" s="100"/>
      <c r="K30" s="100"/>
      <c r="L30" s="100"/>
      <c r="M30" s="100"/>
      <c r="N30" s="100"/>
      <c r="O30" s="160"/>
      <c r="P30" s="167"/>
    </row>
    <row r="31" spans="1:16" ht="25.95" customHeight="1" x14ac:dyDescent="0.35">
      <c r="A31" s="73" t="s">
        <v>8</v>
      </c>
      <c r="B31" s="192">
        <f t="shared" si="0"/>
        <v>160000</v>
      </c>
      <c r="C31" s="136">
        <f t="shared" si="1"/>
        <v>0</v>
      </c>
      <c r="D31" s="136"/>
      <c r="E31" s="136"/>
      <c r="F31" s="136">
        <f t="shared" si="2"/>
        <v>160000</v>
      </c>
      <c r="G31" s="100"/>
      <c r="H31" s="100"/>
      <c r="I31" s="100"/>
      <c r="J31" s="100"/>
      <c r="K31" s="100">
        <v>160000</v>
      </c>
      <c r="L31" s="100"/>
      <c r="M31" s="100"/>
      <c r="N31" s="100"/>
      <c r="O31" s="160"/>
      <c r="P31" s="167"/>
    </row>
    <row r="32" spans="1:16" ht="30" customHeight="1" x14ac:dyDescent="0.35">
      <c r="A32" s="73" t="s">
        <v>43</v>
      </c>
      <c r="B32" s="192">
        <f t="shared" si="0"/>
        <v>3448</v>
      </c>
      <c r="C32" s="136">
        <f t="shared" si="1"/>
        <v>0</v>
      </c>
      <c r="D32" s="136"/>
      <c r="E32" s="136"/>
      <c r="F32" s="136">
        <f t="shared" si="2"/>
        <v>3448</v>
      </c>
      <c r="G32" s="100"/>
      <c r="H32" s="100">
        <v>3448</v>
      </c>
      <c r="I32" s="100"/>
      <c r="J32" s="100"/>
      <c r="K32" s="100"/>
      <c r="L32" s="100"/>
      <c r="M32" s="100"/>
      <c r="N32" s="100"/>
      <c r="O32" s="160"/>
      <c r="P32" s="167"/>
    </row>
    <row r="33" spans="1:16" ht="25.5" customHeight="1" x14ac:dyDescent="0.35">
      <c r="A33" s="73" t="s">
        <v>107</v>
      </c>
      <c r="B33" s="192">
        <f t="shared" si="0"/>
        <v>50000</v>
      </c>
      <c r="C33" s="136">
        <f t="shared" si="1"/>
        <v>0</v>
      </c>
      <c r="D33" s="136"/>
      <c r="E33" s="136"/>
      <c r="F33" s="136">
        <f t="shared" si="2"/>
        <v>0</v>
      </c>
      <c r="G33" s="100"/>
      <c r="H33" s="100"/>
      <c r="I33" s="100"/>
      <c r="J33" s="100"/>
      <c r="K33" s="100"/>
      <c r="L33" s="100">
        <v>50000</v>
      </c>
      <c r="M33" s="100"/>
      <c r="N33" s="100"/>
      <c r="O33" s="160"/>
      <c r="P33" s="167"/>
    </row>
    <row r="34" spans="1:16" ht="25.5" customHeight="1" x14ac:dyDescent="0.35">
      <c r="A34" s="73" t="s">
        <v>639</v>
      </c>
      <c r="B34" s="192">
        <f t="shared" si="0"/>
        <v>13660</v>
      </c>
      <c r="C34" s="136">
        <f t="shared" si="1"/>
        <v>0</v>
      </c>
      <c r="D34" s="136"/>
      <c r="E34" s="136"/>
      <c r="F34" s="136">
        <f t="shared" si="2"/>
        <v>13660</v>
      </c>
      <c r="G34" s="100"/>
      <c r="H34" s="100">
        <v>13160</v>
      </c>
      <c r="I34" s="100">
        <v>500</v>
      </c>
      <c r="J34" s="100"/>
      <c r="K34" s="100"/>
      <c r="L34" s="100"/>
      <c r="M34" s="100"/>
      <c r="N34" s="100"/>
      <c r="O34" s="160"/>
      <c r="P34" s="167"/>
    </row>
    <row r="35" spans="1:16" ht="30" customHeight="1" x14ac:dyDescent="0.35">
      <c r="A35" s="133" t="s">
        <v>46</v>
      </c>
      <c r="B35" s="192">
        <f t="shared" si="0"/>
        <v>134176</v>
      </c>
      <c r="C35" s="136">
        <f t="shared" si="1"/>
        <v>17481</v>
      </c>
      <c r="D35" s="136">
        <v>14144</v>
      </c>
      <c r="E35" s="136">
        <v>3337</v>
      </c>
      <c r="F35" s="136">
        <f t="shared" si="2"/>
        <v>116695</v>
      </c>
      <c r="G35" s="100"/>
      <c r="H35" s="100">
        <v>106465</v>
      </c>
      <c r="I35" s="100">
        <v>10230</v>
      </c>
      <c r="J35" s="100"/>
      <c r="K35" s="100"/>
      <c r="L35" s="100"/>
      <c r="M35" s="100"/>
      <c r="N35" s="100"/>
      <c r="O35" s="160"/>
      <c r="P35" s="167"/>
    </row>
    <row r="36" spans="1:16" ht="36.6" customHeight="1" x14ac:dyDescent="0.35">
      <c r="A36" s="133" t="s">
        <v>136</v>
      </c>
      <c r="B36" s="192">
        <f t="shared" si="0"/>
        <v>72973</v>
      </c>
      <c r="C36" s="136">
        <f t="shared" si="1"/>
        <v>8406</v>
      </c>
      <c r="D36" s="136">
        <v>6802</v>
      </c>
      <c r="E36" s="136">
        <v>1604</v>
      </c>
      <c r="F36" s="136">
        <f t="shared" si="2"/>
        <v>64567</v>
      </c>
      <c r="G36" s="100"/>
      <c r="H36" s="100">
        <v>41542</v>
      </c>
      <c r="I36" s="100">
        <v>23025</v>
      </c>
      <c r="J36" s="100"/>
      <c r="K36" s="100"/>
      <c r="L36" s="100"/>
      <c r="M36" s="100"/>
      <c r="N36" s="100"/>
      <c r="O36" s="160"/>
      <c r="P36" s="167"/>
    </row>
    <row r="37" spans="1:16" ht="30" customHeight="1" x14ac:dyDescent="0.35">
      <c r="A37" s="133" t="s">
        <v>47</v>
      </c>
      <c r="B37" s="192">
        <f t="shared" si="0"/>
        <v>37698</v>
      </c>
      <c r="C37" s="136">
        <f t="shared" si="1"/>
        <v>3510</v>
      </c>
      <c r="D37" s="136">
        <v>2840</v>
      </c>
      <c r="E37" s="136">
        <v>670</v>
      </c>
      <c r="F37" s="136">
        <f t="shared" si="2"/>
        <v>34188</v>
      </c>
      <c r="G37" s="100"/>
      <c r="H37" s="100">
        <v>29688</v>
      </c>
      <c r="I37" s="100">
        <v>4500</v>
      </c>
      <c r="J37" s="100"/>
      <c r="K37" s="100"/>
      <c r="L37" s="100"/>
      <c r="M37" s="100"/>
      <c r="N37" s="100"/>
      <c r="O37" s="160"/>
      <c r="P37" s="167"/>
    </row>
    <row r="38" spans="1:16" ht="30" customHeight="1" x14ac:dyDescent="0.35">
      <c r="A38" s="133" t="s">
        <v>48</v>
      </c>
      <c r="B38" s="192">
        <f t="shared" si="0"/>
        <v>34801</v>
      </c>
      <c r="C38" s="136">
        <f t="shared" si="1"/>
        <v>0</v>
      </c>
      <c r="D38" s="136"/>
      <c r="E38" s="136"/>
      <c r="F38" s="136">
        <f t="shared" si="2"/>
        <v>34801</v>
      </c>
      <c r="G38" s="100"/>
      <c r="H38" s="100">
        <v>33351</v>
      </c>
      <c r="I38" s="100">
        <v>1450</v>
      </c>
      <c r="J38" s="100"/>
      <c r="K38" s="100"/>
      <c r="L38" s="100"/>
      <c r="M38" s="100"/>
      <c r="N38" s="100"/>
      <c r="O38" s="160"/>
      <c r="P38" s="167"/>
    </row>
    <row r="39" spans="1:16" ht="33" customHeight="1" x14ac:dyDescent="0.35">
      <c r="A39" s="133" t="s">
        <v>49</v>
      </c>
      <c r="B39" s="192">
        <f t="shared" si="0"/>
        <v>42393</v>
      </c>
      <c r="C39" s="136">
        <f t="shared" si="1"/>
        <v>3510</v>
      </c>
      <c r="D39" s="136">
        <v>2840</v>
      </c>
      <c r="E39" s="136">
        <v>670</v>
      </c>
      <c r="F39" s="136">
        <f t="shared" si="2"/>
        <v>38883</v>
      </c>
      <c r="G39" s="100"/>
      <c r="H39" s="100">
        <v>34783</v>
      </c>
      <c r="I39" s="100">
        <v>4100</v>
      </c>
      <c r="J39" s="100"/>
      <c r="K39" s="100"/>
      <c r="L39" s="100"/>
      <c r="M39" s="100"/>
      <c r="N39" s="100"/>
      <c r="O39" s="160"/>
      <c r="P39" s="167"/>
    </row>
    <row r="40" spans="1:16" ht="32.4" customHeight="1" x14ac:dyDescent="0.35">
      <c r="A40" s="133" t="s">
        <v>50</v>
      </c>
      <c r="B40" s="192">
        <f t="shared" si="0"/>
        <v>68809</v>
      </c>
      <c r="C40" s="136">
        <f t="shared" si="1"/>
        <v>0</v>
      </c>
      <c r="D40" s="136"/>
      <c r="E40" s="136"/>
      <c r="F40" s="136">
        <f t="shared" si="2"/>
        <v>68809</v>
      </c>
      <c r="G40" s="100"/>
      <c r="H40" s="100">
        <v>67479</v>
      </c>
      <c r="I40" s="100">
        <v>1330</v>
      </c>
      <c r="J40" s="100"/>
      <c r="K40" s="100"/>
      <c r="L40" s="100"/>
      <c r="M40" s="100"/>
      <c r="N40" s="100"/>
      <c r="O40" s="160"/>
      <c r="P40" s="167"/>
    </row>
    <row r="41" spans="1:16" ht="33.6" customHeight="1" x14ac:dyDescent="0.35">
      <c r="A41" s="133" t="s">
        <v>51</v>
      </c>
      <c r="B41" s="192">
        <f t="shared" si="0"/>
        <v>28583</v>
      </c>
      <c r="C41" s="136">
        <f t="shared" si="1"/>
        <v>0</v>
      </c>
      <c r="D41" s="136"/>
      <c r="E41" s="136"/>
      <c r="F41" s="136">
        <f t="shared" si="2"/>
        <v>28583</v>
      </c>
      <c r="G41" s="100"/>
      <c r="H41" s="100">
        <v>26083</v>
      </c>
      <c r="I41" s="100">
        <v>2500</v>
      </c>
      <c r="J41" s="100"/>
      <c r="K41" s="100"/>
      <c r="L41" s="100"/>
      <c r="M41" s="100"/>
      <c r="N41" s="100"/>
      <c r="O41" s="160"/>
      <c r="P41" s="167"/>
    </row>
    <row r="42" spans="1:16" ht="39" customHeight="1" x14ac:dyDescent="0.35">
      <c r="A42" s="133" t="s">
        <v>52</v>
      </c>
      <c r="B42" s="192">
        <f t="shared" si="0"/>
        <v>75759</v>
      </c>
      <c r="C42" s="136">
        <f t="shared" si="1"/>
        <v>0</v>
      </c>
      <c r="D42" s="136"/>
      <c r="E42" s="136"/>
      <c r="F42" s="136">
        <f t="shared" si="2"/>
        <v>75759</v>
      </c>
      <c r="G42" s="100"/>
      <c r="H42" s="100">
        <v>73859</v>
      </c>
      <c r="I42" s="100">
        <v>1900</v>
      </c>
      <c r="J42" s="100"/>
      <c r="K42" s="100"/>
      <c r="L42" s="100"/>
      <c r="M42" s="100"/>
      <c r="N42" s="100"/>
      <c r="O42" s="160"/>
      <c r="P42" s="167"/>
    </row>
    <row r="43" spans="1:16" ht="37.950000000000003" customHeight="1" x14ac:dyDescent="0.35">
      <c r="A43" s="133" t="s">
        <v>134</v>
      </c>
      <c r="B43" s="192">
        <f t="shared" si="0"/>
        <v>25023</v>
      </c>
      <c r="C43" s="136">
        <f t="shared" si="1"/>
        <v>0</v>
      </c>
      <c r="D43" s="136"/>
      <c r="E43" s="136"/>
      <c r="F43" s="136">
        <f t="shared" si="2"/>
        <v>25023</v>
      </c>
      <c r="G43" s="100"/>
      <c r="H43" s="100">
        <v>20223</v>
      </c>
      <c r="I43" s="100">
        <v>4800</v>
      </c>
      <c r="J43" s="100"/>
      <c r="K43" s="100"/>
      <c r="L43" s="100"/>
      <c r="M43" s="100"/>
      <c r="N43" s="100"/>
      <c r="O43" s="160"/>
      <c r="P43" s="167"/>
    </row>
    <row r="44" spans="1:16" ht="30" customHeight="1" x14ac:dyDescent="0.35">
      <c r="A44" s="133" t="s">
        <v>53</v>
      </c>
      <c r="B44" s="192">
        <f t="shared" si="0"/>
        <v>31355</v>
      </c>
      <c r="C44" s="136">
        <f t="shared" si="1"/>
        <v>0</v>
      </c>
      <c r="D44" s="136"/>
      <c r="E44" s="136"/>
      <c r="F44" s="136">
        <f t="shared" si="2"/>
        <v>31355</v>
      </c>
      <c r="G44" s="100"/>
      <c r="H44" s="100">
        <v>31255</v>
      </c>
      <c r="I44" s="100">
        <v>100</v>
      </c>
      <c r="J44" s="100"/>
      <c r="K44" s="100"/>
      <c r="L44" s="100"/>
      <c r="M44" s="100"/>
      <c r="N44" s="100"/>
      <c r="O44" s="160"/>
      <c r="P44" s="167"/>
    </row>
    <row r="45" spans="1:16" ht="41.25" customHeight="1" x14ac:dyDescent="0.35">
      <c r="A45" s="133" t="s">
        <v>493</v>
      </c>
      <c r="B45" s="192">
        <f t="shared" si="0"/>
        <v>107547</v>
      </c>
      <c r="C45" s="136">
        <f t="shared" si="1"/>
        <v>8195</v>
      </c>
      <c r="D45" s="136">
        <v>6631</v>
      </c>
      <c r="E45" s="136">
        <v>1564</v>
      </c>
      <c r="F45" s="136">
        <f t="shared" si="2"/>
        <v>93110</v>
      </c>
      <c r="G45" s="100"/>
      <c r="H45" s="100">
        <v>31510</v>
      </c>
      <c r="I45" s="100">
        <v>61600</v>
      </c>
      <c r="J45" s="100"/>
      <c r="K45" s="100"/>
      <c r="L45" s="100"/>
      <c r="M45" s="100"/>
      <c r="N45" s="100">
        <v>6242</v>
      </c>
      <c r="O45" s="160"/>
      <c r="P45" s="167"/>
    </row>
    <row r="46" spans="1:16" ht="30" customHeight="1" x14ac:dyDescent="0.35">
      <c r="A46" s="133" t="s">
        <v>133</v>
      </c>
      <c r="B46" s="192">
        <f t="shared" si="0"/>
        <v>51815</v>
      </c>
      <c r="C46" s="136">
        <f t="shared" si="1"/>
        <v>0</v>
      </c>
      <c r="D46" s="136"/>
      <c r="E46" s="136"/>
      <c r="F46" s="136">
        <f t="shared" si="2"/>
        <v>51815</v>
      </c>
      <c r="G46" s="100"/>
      <c r="H46" s="100">
        <v>46815</v>
      </c>
      <c r="I46" s="100">
        <v>5000</v>
      </c>
      <c r="J46" s="100"/>
      <c r="K46" s="100"/>
      <c r="L46" s="100"/>
      <c r="M46" s="100"/>
      <c r="N46" s="100"/>
      <c r="O46" s="160"/>
      <c r="P46" s="167"/>
    </row>
    <row r="47" spans="1:16" ht="30" customHeight="1" x14ac:dyDescent="0.35">
      <c r="A47" s="133" t="s">
        <v>135</v>
      </c>
      <c r="B47" s="192">
        <f t="shared" si="0"/>
        <v>226080</v>
      </c>
      <c r="C47" s="136">
        <f t="shared" si="1"/>
        <v>8341</v>
      </c>
      <c r="D47" s="136">
        <v>6749</v>
      </c>
      <c r="E47" s="136">
        <v>1592</v>
      </c>
      <c r="F47" s="136">
        <f t="shared" si="2"/>
        <v>217739</v>
      </c>
      <c r="G47" s="100"/>
      <c r="H47" s="100">
        <v>123739</v>
      </c>
      <c r="I47" s="100">
        <v>94000</v>
      </c>
      <c r="J47" s="100"/>
      <c r="K47" s="100"/>
      <c r="L47" s="100"/>
      <c r="M47" s="100"/>
      <c r="N47" s="100"/>
      <c r="O47" s="160"/>
      <c r="P47" s="167"/>
    </row>
    <row r="48" spans="1:16" ht="30" customHeight="1" x14ac:dyDescent="0.35">
      <c r="A48" s="133" t="s">
        <v>137</v>
      </c>
      <c r="B48" s="192">
        <f t="shared" si="0"/>
        <v>68514</v>
      </c>
      <c r="C48" s="136">
        <f t="shared" si="1"/>
        <v>5487</v>
      </c>
      <c r="D48" s="136">
        <v>4440</v>
      </c>
      <c r="E48" s="136">
        <v>1047</v>
      </c>
      <c r="F48" s="136">
        <f t="shared" si="2"/>
        <v>63027</v>
      </c>
      <c r="G48" s="100"/>
      <c r="H48" s="100">
        <v>46827</v>
      </c>
      <c r="I48" s="100">
        <v>16200</v>
      </c>
      <c r="J48" s="100"/>
      <c r="K48" s="100"/>
      <c r="L48" s="100"/>
      <c r="M48" s="100"/>
      <c r="N48" s="100"/>
      <c r="O48" s="160"/>
      <c r="P48" s="167"/>
    </row>
    <row r="49" spans="1:16" ht="30" customHeight="1" x14ac:dyDescent="0.35">
      <c r="A49" s="133" t="s">
        <v>138</v>
      </c>
      <c r="B49" s="192">
        <f t="shared" si="0"/>
        <v>87383</v>
      </c>
      <c r="C49" s="136">
        <f t="shared" si="1"/>
        <v>3373</v>
      </c>
      <c r="D49" s="136">
        <v>2729</v>
      </c>
      <c r="E49" s="136">
        <v>644</v>
      </c>
      <c r="F49" s="136">
        <f t="shared" si="2"/>
        <v>84010</v>
      </c>
      <c r="G49" s="100"/>
      <c r="H49" s="100">
        <v>78310</v>
      </c>
      <c r="I49" s="100">
        <v>5700</v>
      </c>
      <c r="J49" s="100"/>
      <c r="K49" s="100"/>
      <c r="L49" s="100"/>
      <c r="M49" s="100"/>
      <c r="N49" s="100"/>
      <c r="O49" s="160"/>
      <c r="P49" s="167"/>
    </row>
    <row r="50" spans="1:16" ht="30" customHeight="1" x14ac:dyDescent="0.35">
      <c r="A50" s="133" t="s">
        <v>54</v>
      </c>
      <c r="B50" s="192">
        <f t="shared" si="0"/>
        <v>47283</v>
      </c>
      <c r="C50" s="136">
        <f t="shared" si="1"/>
        <v>3906</v>
      </c>
      <c r="D50" s="136">
        <v>3160</v>
      </c>
      <c r="E50" s="136">
        <v>746</v>
      </c>
      <c r="F50" s="136">
        <f t="shared" si="2"/>
        <v>43377</v>
      </c>
      <c r="G50" s="100"/>
      <c r="H50" s="100">
        <v>37577</v>
      </c>
      <c r="I50" s="100">
        <v>5800</v>
      </c>
      <c r="J50" s="100"/>
      <c r="K50" s="100"/>
      <c r="L50" s="100"/>
      <c r="M50" s="100"/>
      <c r="N50" s="100"/>
      <c r="O50" s="160"/>
      <c r="P50" s="167"/>
    </row>
    <row r="51" spans="1:16" ht="30" customHeight="1" x14ac:dyDescent="0.35">
      <c r="A51" s="133" t="s">
        <v>55</v>
      </c>
      <c r="B51" s="192">
        <f t="shared" si="0"/>
        <v>33120</v>
      </c>
      <c r="C51" s="136">
        <f t="shared" si="1"/>
        <v>0</v>
      </c>
      <c r="D51" s="136"/>
      <c r="E51" s="136"/>
      <c r="F51" s="136">
        <f t="shared" si="2"/>
        <v>33120</v>
      </c>
      <c r="G51" s="100"/>
      <c r="H51" s="100">
        <v>33120</v>
      </c>
      <c r="I51" s="100"/>
      <c r="J51" s="100"/>
      <c r="K51" s="100"/>
      <c r="L51" s="100"/>
      <c r="M51" s="100"/>
      <c r="N51" s="100"/>
      <c r="O51" s="160"/>
      <c r="P51" s="167"/>
    </row>
    <row r="52" spans="1:16" ht="30" customHeight="1" x14ac:dyDescent="0.35">
      <c r="A52" s="133" t="s">
        <v>141</v>
      </c>
      <c r="B52" s="192">
        <f t="shared" si="0"/>
        <v>28936</v>
      </c>
      <c r="C52" s="136">
        <f t="shared" si="1"/>
        <v>7682</v>
      </c>
      <c r="D52" s="136">
        <v>6216</v>
      </c>
      <c r="E52" s="136">
        <v>1466</v>
      </c>
      <c r="F52" s="136">
        <f t="shared" si="2"/>
        <v>21254</v>
      </c>
      <c r="G52" s="100"/>
      <c r="H52" s="100">
        <v>11754</v>
      </c>
      <c r="I52" s="100">
        <v>9500</v>
      </c>
      <c r="J52" s="100"/>
      <c r="K52" s="100"/>
      <c r="L52" s="100"/>
      <c r="M52" s="100"/>
      <c r="N52" s="100"/>
      <c r="O52" s="160"/>
      <c r="P52" s="167"/>
    </row>
    <row r="53" spans="1:16" ht="30" customHeight="1" x14ac:dyDescent="0.35">
      <c r="A53" s="133" t="s">
        <v>56</v>
      </c>
      <c r="B53" s="192">
        <f t="shared" si="0"/>
        <v>29715</v>
      </c>
      <c r="C53" s="136">
        <f t="shared" si="1"/>
        <v>3328</v>
      </c>
      <c r="D53" s="136">
        <v>2693</v>
      </c>
      <c r="E53" s="136">
        <v>635</v>
      </c>
      <c r="F53" s="136">
        <f t="shared" si="2"/>
        <v>26387</v>
      </c>
      <c r="G53" s="100"/>
      <c r="H53" s="100">
        <v>21487</v>
      </c>
      <c r="I53" s="100">
        <v>4900</v>
      </c>
      <c r="J53" s="100"/>
      <c r="K53" s="100"/>
      <c r="L53" s="100"/>
      <c r="M53" s="100"/>
      <c r="N53" s="100"/>
      <c r="O53" s="160"/>
      <c r="P53" s="167"/>
    </row>
    <row r="54" spans="1:16" ht="30" customHeight="1" x14ac:dyDescent="0.35">
      <c r="A54" s="133" t="s">
        <v>139</v>
      </c>
      <c r="B54" s="192">
        <f t="shared" si="0"/>
        <v>10428</v>
      </c>
      <c r="C54" s="136">
        <f t="shared" si="1"/>
        <v>2195</v>
      </c>
      <c r="D54" s="136">
        <v>1776</v>
      </c>
      <c r="E54" s="136">
        <v>419</v>
      </c>
      <c r="F54" s="136">
        <f t="shared" si="2"/>
        <v>8233</v>
      </c>
      <c r="G54" s="100"/>
      <c r="H54" s="100">
        <v>3333</v>
      </c>
      <c r="I54" s="100">
        <v>4900</v>
      </c>
      <c r="J54" s="100"/>
      <c r="K54" s="100"/>
      <c r="L54" s="100"/>
      <c r="M54" s="100"/>
      <c r="N54" s="100"/>
      <c r="O54" s="160"/>
      <c r="P54" s="167"/>
    </row>
    <row r="55" spans="1:16" ht="30" customHeight="1" x14ac:dyDescent="0.35">
      <c r="A55" s="133" t="s">
        <v>140</v>
      </c>
      <c r="B55" s="192">
        <f t="shared" si="0"/>
        <v>42204</v>
      </c>
      <c r="C55" s="136">
        <f t="shared" si="1"/>
        <v>9997</v>
      </c>
      <c r="D55" s="136">
        <v>8089</v>
      </c>
      <c r="E55" s="136">
        <v>1908</v>
      </c>
      <c r="F55" s="136">
        <f t="shared" si="2"/>
        <v>32207</v>
      </c>
      <c r="G55" s="100"/>
      <c r="H55" s="100">
        <v>20107</v>
      </c>
      <c r="I55" s="100">
        <v>12100</v>
      </c>
      <c r="J55" s="100"/>
      <c r="K55" s="100"/>
      <c r="L55" s="100"/>
      <c r="M55" s="100"/>
      <c r="N55" s="100"/>
      <c r="O55" s="160"/>
      <c r="P55" s="167"/>
    </row>
    <row r="56" spans="1:16" ht="40.5" customHeight="1" x14ac:dyDescent="0.35">
      <c r="A56" s="133" t="s">
        <v>487</v>
      </c>
      <c r="B56" s="192">
        <f t="shared" si="0"/>
        <v>465583</v>
      </c>
      <c r="C56" s="136">
        <f t="shared" si="1"/>
        <v>0</v>
      </c>
      <c r="D56" s="136"/>
      <c r="E56" s="136"/>
      <c r="F56" s="136">
        <f t="shared" si="2"/>
        <v>465583</v>
      </c>
      <c r="G56" s="100"/>
      <c r="H56" s="100">
        <v>465583</v>
      </c>
      <c r="I56" s="100"/>
      <c r="J56" s="100"/>
      <c r="K56" s="100"/>
      <c r="L56" s="100"/>
      <c r="M56" s="100"/>
      <c r="N56" s="100"/>
      <c r="O56" s="160"/>
      <c r="P56" s="167"/>
    </row>
    <row r="57" spans="1:16" ht="20.25" customHeight="1" x14ac:dyDescent="0.35">
      <c r="A57" s="181" t="s">
        <v>74</v>
      </c>
      <c r="B57" s="192">
        <f t="shared" si="0"/>
        <v>42183</v>
      </c>
      <c r="C57" s="136">
        <f t="shared" si="1"/>
        <v>1483</v>
      </c>
      <c r="D57" s="136">
        <v>1200</v>
      </c>
      <c r="E57" s="136">
        <v>283</v>
      </c>
      <c r="F57" s="136">
        <f t="shared" si="2"/>
        <v>1100</v>
      </c>
      <c r="G57" s="100"/>
      <c r="H57" s="100">
        <v>1100</v>
      </c>
      <c r="I57" s="100"/>
      <c r="J57" s="100"/>
      <c r="K57" s="100"/>
      <c r="L57" s="100"/>
      <c r="M57" s="100"/>
      <c r="N57" s="100"/>
      <c r="O57" s="160">
        <v>39600</v>
      </c>
      <c r="P57" s="167"/>
    </row>
    <row r="58" spans="1:16" ht="45" customHeight="1" x14ac:dyDescent="0.35">
      <c r="A58" s="73" t="s">
        <v>590</v>
      </c>
      <c r="B58" s="192">
        <f t="shared" si="0"/>
        <v>126189</v>
      </c>
      <c r="C58" s="136">
        <f t="shared" si="1"/>
        <v>0</v>
      </c>
      <c r="D58" s="136"/>
      <c r="E58" s="136"/>
      <c r="F58" s="136">
        <f t="shared" si="2"/>
        <v>0</v>
      </c>
      <c r="G58" s="100"/>
      <c r="H58" s="100"/>
      <c r="I58" s="100"/>
      <c r="J58" s="100"/>
      <c r="K58" s="100"/>
      <c r="L58" s="100"/>
      <c r="M58" s="100"/>
      <c r="N58" s="100">
        <v>126189</v>
      </c>
      <c r="O58" s="160"/>
      <c r="P58" s="167"/>
    </row>
    <row r="59" spans="1:16" ht="45" customHeight="1" x14ac:dyDescent="0.35">
      <c r="A59" s="73" t="s">
        <v>57</v>
      </c>
      <c r="B59" s="192">
        <f t="shared" si="0"/>
        <v>165841</v>
      </c>
      <c r="C59" s="136">
        <f t="shared" si="1"/>
        <v>0</v>
      </c>
      <c r="D59" s="136"/>
      <c r="E59" s="136"/>
      <c r="F59" s="136">
        <f t="shared" si="2"/>
        <v>165841</v>
      </c>
      <c r="G59" s="100"/>
      <c r="H59" s="100">
        <f>115841+50000</f>
        <v>165841</v>
      </c>
      <c r="I59" s="100"/>
      <c r="J59" s="100"/>
      <c r="K59" s="100"/>
      <c r="L59" s="100"/>
      <c r="M59" s="100"/>
      <c r="N59" s="100"/>
      <c r="O59" s="160"/>
      <c r="P59" s="167"/>
    </row>
    <row r="60" spans="1:16" ht="35.4" customHeight="1" x14ac:dyDescent="0.35">
      <c r="A60" s="181" t="s">
        <v>736</v>
      </c>
      <c r="B60" s="192">
        <f t="shared" si="0"/>
        <v>7636</v>
      </c>
      <c r="C60" s="136">
        <f t="shared" si="1"/>
        <v>0</v>
      </c>
      <c r="D60" s="136"/>
      <c r="E60" s="136"/>
      <c r="F60" s="136">
        <f t="shared" si="2"/>
        <v>7636</v>
      </c>
      <c r="G60" s="100"/>
      <c r="H60" s="100">
        <v>6302</v>
      </c>
      <c r="I60" s="100">
        <v>1114</v>
      </c>
      <c r="J60" s="100"/>
      <c r="K60" s="100">
        <v>220</v>
      </c>
      <c r="L60" s="100"/>
      <c r="M60" s="100"/>
      <c r="N60" s="100"/>
      <c r="O60" s="160"/>
      <c r="P60" s="167"/>
    </row>
    <row r="61" spans="1:16" ht="33.6" customHeight="1" x14ac:dyDescent="0.35">
      <c r="A61" s="73" t="s">
        <v>737</v>
      </c>
      <c r="B61" s="192">
        <f t="shared" si="0"/>
        <v>9286</v>
      </c>
      <c r="C61" s="136">
        <f t="shared" si="1"/>
        <v>0</v>
      </c>
      <c r="D61" s="136"/>
      <c r="E61" s="136"/>
      <c r="F61" s="136">
        <f t="shared" si="2"/>
        <v>9286</v>
      </c>
      <c r="G61" s="100"/>
      <c r="H61" s="100">
        <v>8036</v>
      </c>
      <c r="I61" s="100">
        <v>750</v>
      </c>
      <c r="J61" s="100"/>
      <c r="K61" s="100">
        <v>500</v>
      </c>
      <c r="L61" s="100"/>
      <c r="M61" s="100"/>
      <c r="N61" s="100"/>
      <c r="O61" s="160"/>
      <c r="P61" s="167"/>
    </row>
    <row r="62" spans="1:16" ht="30" customHeight="1" x14ac:dyDescent="0.35">
      <c r="A62" s="73" t="s">
        <v>766</v>
      </c>
      <c r="B62" s="192">
        <f t="shared" si="0"/>
        <v>6175</v>
      </c>
      <c r="C62" s="136">
        <f t="shared" si="1"/>
        <v>0</v>
      </c>
      <c r="D62" s="136"/>
      <c r="E62" s="136"/>
      <c r="F62" s="136">
        <f t="shared" si="2"/>
        <v>6175</v>
      </c>
      <c r="G62" s="100"/>
      <c r="H62" s="100">
        <v>4140</v>
      </c>
      <c r="I62" s="100">
        <v>1935</v>
      </c>
      <c r="J62" s="100"/>
      <c r="K62" s="100">
        <v>100</v>
      </c>
      <c r="L62" s="100"/>
      <c r="M62" s="100"/>
      <c r="N62" s="100"/>
      <c r="O62" s="160"/>
      <c r="P62" s="167"/>
    </row>
    <row r="63" spans="1:16" ht="30" customHeight="1" x14ac:dyDescent="0.35">
      <c r="A63" s="73" t="s">
        <v>739</v>
      </c>
      <c r="B63" s="192">
        <f t="shared" si="0"/>
        <v>4925</v>
      </c>
      <c r="C63" s="136">
        <f t="shared" si="1"/>
        <v>0</v>
      </c>
      <c r="D63" s="136"/>
      <c r="E63" s="136"/>
      <c r="F63" s="136">
        <f t="shared" si="2"/>
        <v>4925</v>
      </c>
      <c r="G63" s="100"/>
      <c r="H63" s="100">
        <v>4735</v>
      </c>
      <c r="I63" s="100">
        <v>150</v>
      </c>
      <c r="J63" s="100"/>
      <c r="K63" s="100">
        <v>40</v>
      </c>
      <c r="L63" s="100"/>
      <c r="M63" s="100"/>
      <c r="N63" s="100"/>
      <c r="O63" s="160"/>
      <c r="P63" s="167"/>
    </row>
    <row r="64" spans="1:16" ht="30" customHeight="1" x14ac:dyDescent="0.35">
      <c r="A64" s="73" t="s">
        <v>767</v>
      </c>
      <c r="B64" s="192">
        <f t="shared" si="0"/>
        <v>3780</v>
      </c>
      <c r="C64" s="136">
        <f t="shared" si="1"/>
        <v>0</v>
      </c>
      <c r="D64" s="136"/>
      <c r="E64" s="136"/>
      <c r="F64" s="136">
        <f t="shared" si="2"/>
        <v>3780</v>
      </c>
      <c r="G64" s="100"/>
      <c r="H64" s="100">
        <v>2880</v>
      </c>
      <c r="I64" s="100">
        <v>700</v>
      </c>
      <c r="J64" s="100"/>
      <c r="K64" s="100">
        <v>200</v>
      </c>
      <c r="L64" s="100"/>
      <c r="M64" s="100"/>
      <c r="N64" s="100"/>
      <c r="O64" s="160"/>
      <c r="P64" s="167"/>
    </row>
    <row r="65" spans="1:16" ht="30" customHeight="1" x14ac:dyDescent="0.35">
      <c r="A65" s="73" t="s">
        <v>752</v>
      </c>
      <c r="B65" s="192">
        <f t="shared" si="0"/>
        <v>6030</v>
      </c>
      <c r="C65" s="136">
        <f t="shared" si="1"/>
        <v>0</v>
      </c>
      <c r="D65" s="136"/>
      <c r="E65" s="136"/>
      <c r="F65" s="136">
        <f t="shared" si="2"/>
        <v>6030</v>
      </c>
      <c r="G65" s="100"/>
      <c r="H65" s="100">
        <v>5430</v>
      </c>
      <c r="I65" s="100">
        <v>555</v>
      </c>
      <c r="J65" s="100"/>
      <c r="K65" s="100">
        <v>45</v>
      </c>
      <c r="L65" s="100"/>
      <c r="M65" s="100"/>
      <c r="N65" s="100"/>
      <c r="O65" s="160"/>
      <c r="P65" s="167"/>
    </row>
    <row r="66" spans="1:16" ht="30" customHeight="1" x14ac:dyDescent="0.35">
      <c r="A66" s="73" t="s">
        <v>768</v>
      </c>
      <c r="B66" s="192">
        <f t="shared" si="0"/>
        <v>5250</v>
      </c>
      <c r="C66" s="136">
        <f t="shared" si="1"/>
        <v>0</v>
      </c>
      <c r="D66" s="136"/>
      <c r="E66" s="136"/>
      <c r="F66" s="136">
        <f t="shared" si="2"/>
        <v>5250</v>
      </c>
      <c r="G66" s="100"/>
      <c r="H66" s="100">
        <v>4430</v>
      </c>
      <c r="I66" s="100">
        <v>750</v>
      </c>
      <c r="J66" s="100"/>
      <c r="K66" s="100">
        <v>70</v>
      </c>
      <c r="L66" s="100"/>
      <c r="M66" s="100"/>
      <c r="N66" s="100"/>
      <c r="O66" s="160"/>
      <c r="P66" s="167"/>
    </row>
    <row r="67" spans="1:16" ht="33" customHeight="1" x14ac:dyDescent="0.35">
      <c r="A67" s="181" t="s">
        <v>742</v>
      </c>
      <c r="B67" s="192">
        <f t="shared" si="0"/>
        <v>11300</v>
      </c>
      <c r="C67" s="136">
        <f t="shared" si="1"/>
        <v>0</v>
      </c>
      <c r="D67" s="136"/>
      <c r="E67" s="136"/>
      <c r="F67" s="136">
        <f t="shared" si="2"/>
        <v>11300</v>
      </c>
      <c r="G67" s="100"/>
      <c r="H67" s="100">
        <v>7800</v>
      </c>
      <c r="I67" s="100">
        <v>3300</v>
      </c>
      <c r="J67" s="100"/>
      <c r="K67" s="100">
        <v>200</v>
      </c>
      <c r="L67" s="100"/>
      <c r="M67" s="100"/>
      <c r="N67" s="100"/>
      <c r="O67" s="160"/>
      <c r="P67" s="167"/>
    </row>
    <row r="68" spans="1:16" ht="36.75" customHeight="1" x14ac:dyDescent="0.35">
      <c r="A68" s="181" t="s">
        <v>743</v>
      </c>
      <c r="B68" s="192">
        <f t="shared" si="0"/>
        <v>3410</v>
      </c>
      <c r="C68" s="136">
        <f t="shared" si="1"/>
        <v>0</v>
      </c>
      <c r="D68" s="136"/>
      <c r="E68" s="136"/>
      <c r="F68" s="136">
        <f t="shared" si="2"/>
        <v>3410</v>
      </c>
      <c r="G68" s="100"/>
      <c r="H68" s="100">
        <v>3210</v>
      </c>
      <c r="I68" s="100">
        <v>140</v>
      </c>
      <c r="J68" s="100"/>
      <c r="K68" s="100">
        <v>60</v>
      </c>
      <c r="L68" s="100"/>
      <c r="M68" s="100"/>
      <c r="N68" s="100"/>
      <c r="O68" s="160"/>
      <c r="P68" s="167"/>
    </row>
    <row r="69" spans="1:16" ht="35.25" customHeight="1" x14ac:dyDescent="0.35">
      <c r="A69" s="73" t="s">
        <v>769</v>
      </c>
      <c r="B69" s="192">
        <f t="shared" si="0"/>
        <v>7090</v>
      </c>
      <c r="C69" s="136">
        <f t="shared" si="1"/>
        <v>0</v>
      </c>
      <c r="D69" s="136"/>
      <c r="E69" s="136"/>
      <c r="F69" s="136">
        <f t="shared" si="2"/>
        <v>7090</v>
      </c>
      <c r="G69" s="100"/>
      <c r="H69" s="100">
        <v>6580</v>
      </c>
      <c r="I69" s="100">
        <v>410</v>
      </c>
      <c r="J69" s="100"/>
      <c r="K69" s="100">
        <v>100</v>
      </c>
      <c r="L69" s="100"/>
      <c r="M69" s="100"/>
      <c r="N69" s="100"/>
      <c r="O69" s="160"/>
      <c r="P69" s="167"/>
    </row>
    <row r="70" spans="1:16" ht="35.25" customHeight="1" x14ac:dyDescent="0.35">
      <c r="A70" s="73" t="s">
        <v>715</v>
      </c>
      <c r="B70" s="192">
        <f t="shared" si="0"/>
        <v>2460</v>
      </c>
      <c r="C70" s="136">
        <f t="shared" si="1"/>
        <v>0</v>
      </c>
      <c r="D70" s="136"/>
      <c r="E70" s="136"/>
      <c r="F70" s="136">
        <f t="shared" si="2"/>
        <v>2460</v>
      </c>
      <c r="G70" s="100"/>
      <c r="H70" s="100">
        <v>1260</v>
      </c>
      <c r="I70" s="100">
        <v>1170</v>
      </c>
      <c r="J70" s="100"/>
      <c r="K70" s="100">
        <v>30</v>
      </c>
      <c r="L70" s="100"/>
      <c r="M70" s="100"/>
      <c r="N70" s="100"/>
      <c r="O70" s="160"/>
      <c r="P70" s="167"/>
    </row>
    <row r="71" spans="1:16" ht="36" customHeight="1" x14ac:dyDescent="0.35">
      <c r="A71" s="73" t="s">
        <v>746</v>
      </c>
      <c r="B71" s="192">
        <f t="shared" si="0"/>
        <v>7970</v>
      </c>
      <c r="C71" s="136">
        <f t="shared" si="1"/>
        <v>0</v>
      </c>
      <c r="D71" s="136"/>
      <c r="E71" s="136"/>
      <c r="F71" s="136">
        <f t="shared" si="2"/>
        <v>7970</v>
      </c>
      <c r="G71" s="100"/>
      <c r="H71" s="100">
        <v>7050</v>
      </c>
      <c r="I71" s="100">
        <v>800</v>
      </c>
      <c r="J71" s="100"/>
      <c r="K71" s="100">
        <v>120</v>
      </c>
      <c r="L71" s="100"/>
      <c r="M71" s="100"/>
      <c r="N71" s="100"/>
      <c r="O71" s="160"/>
      <c r="P71" s="167"/>
    </row>
    <row r="72" spans="1:16" ht="33.75" customHeight="1" x14ac:dyDescent="0.35">
      <c r="A72" s="73" t="s">
        <v>716</v>
      </c>
      <c r="B72" s="192">
        <f t="shared" si="0"/>
        <v>7965</v>
      </c>
      <c r="C72" s="136">
        <f t="shared" si="1"/>
        <v>0</v>
      </c>
      <c r="D72" s="136"/>
      <c r="E72" s="136"/>
      <c r="F72" s="136">
        <f t="shared" si="2"/>
        <v>7965</v>
      </c>
      <c r="G72" s="100"/>
      <c r="H72" s="100">
        <v>7435</v>
      </c>
      <c r="I72" s="100">
        <v>230</v>
      </c>
      <c r="J72" s="100"/>
      <c r="K72" s="100">
        <v>300</v>
      </c>
      <c r="L72" s="100"/>
      <c r="M72" s="100"/>
      <c r="N72" s="100"/>
      <c r="O72" s="160"/>
      <c r="P72" s="167"/>
    </row>
    <row r="73" spans="1:16" ht="33.75" customHeight="1" x14ac:dyDescent="0.35">
      <c r="A73" s="73" t="s">
        <v>717</v>
      </c>
      <c r="B73" s="192">
        <f t="shared" si="0"/>
        <v>440</v>
      </c>
      <c r="C73" s="136">
        <f t="shared" si="1"/>
        <v>0</v>
      </c>
      <c r="D73" s="136"/>
      <c r="E73" s="136"/>
      <c r="F73" s="136">
        <f t="shared" si="2"/>
        <v>440</v>
      </c>
      <c r="G73" s="100"/>
      <c r="H73" s="100">
        <v>260</v>
      </c>
      <c r="I73" s="100">
        <v>160</v>
      </c>
      <c r="J73" s="100"/>
      <c r="K73" s="100">
        <v>20</v>
      </c>
      <c r="L73" s="100"/>
      <c r="M73" s="100"/>
      <c r="N73" s="100"/>
      <c r="O73" s="160"/>
      <c r="P73" s="167"/>
    </row>
    <row r="74" spans="1:16" ht="33.75" customHeight="1" x14ac:dyDescent="0.35">
      <c r="A74" s="73" t="s">
        <v>770</v>
      </c>
      <c r="B74" s="192">
        <f t="shared" si="0"/>
        <v>2450</v>
      </c>
      <c r="C74" s="136">
        <f t="shared" si="1"/>
        <v>0</v>
      </c>
      <c r="D74" s="136"/>
      <c r="E74" s="136"/>
      <c r="F74" s="136">
        <f t="shared" si="2"/>
        <v>2450</v>
      </c>
      <c r="G74" s="100"/>
      <c r="H74" s="100">
        <v>1450</v>
      </c>
      <c r="I74" s="100">
        <v>980</v>
      </c>
      <c r="J74" s="100"/>
      <c r="K74" s="100">
        <v>20</v>
      </c>
      <c r="L74" s="100"/>
      <c r="M74" s="100"/>
      <c r="N74" s="100"/>
      <c r="O74" s="160"/>
      <c r="P74" s="167"/>
    </row>
    <row r="75" spans="1:16" ht="37.950000000000003" customHeight="1" x14ac:dyDescent="0.35">
      <c r="A75" s="73" t="s">
        <v>753</v>
      </c>
      <c r="B75" s="192">
        <f t="shared" si="0"/>
        <v>31288</v>
      </c>
      <c r="C75" s="136">
        <f t="shared" si="1"/>
        <v>11628</v>
      </c>
      <c r="D75" s="136">
        <v>9408</v>
      </c>
      <c r="E75" s="136">
        <v>2220</v>
      </c>
      <c r="F75" s="136">
        <f t="shared" si="2"/>
        <v>19660</v>
      </c>
      <c r="G75" s="100"/>
      <c r="H75" s="100">
        <v>16040</v>
      </c>
      <c r="I75" s="100">
        <v>3320</v>
      </c>
      <c r="J75" s="100"/>
      <c r="K75" s="100">
        <v>300</v>
      </c>
      <c r="L75" s="100"/>
      <c r="M75" s="100"/>
      <c r="N75" s="100"/>
      <c r="O75" s="160"/>
      <c r="P75" s="167"/>
    </row>
    <row r="76" spans="1:16" ht="30" customHeight="1" x14ac:dyDescent="0.35">
      <c r="A76" s="73" t="s">
        <v>771</v>
      </c>
      <c r="B76" s="192">
        <f t="shared" si="0"/>
        <v>4365</v>
      </c>
      <c r="C76" s="136">
        <f t="shared" si="1"/>
        <v>0</v>
      </c>
      <c r="D76" s="136"/>
      <c r="E76" s="136"/>
      <c r="F76" s="136">
        <f t="shared" si="2"/>
        <v>4365</v>
      </c>
      <c r="G76" s="100"/>
      <c r="H76" s="100">
        <v>4305</v>
      </c>
      <c r="I76" s="100"/>
      <c r="J76" s="100"/>
      <c r="K76" s="100">
        <v>60</v>
      </c>
      <c r="L76" s="100"/>
      <c r="M76" s="100"/>
      <c r="N76" s="100"/>
      <c r="O76" s="160"/>
      <c r="P76" s="167"/>
    </row>
    <row r="77" spans="1:16" ht="30" customHeight="1" x14ac:dyDescent="0.35">
      <c r="A77" s="73" t="s">
        <v>755</v>
      </c>
      <c r="B77" s="192">
        <f t="shared" si="0"/>
        <v>7740</v>
      </c>
      <c r="C77" s="136">
        <f t="shared" si="1"/>
        <v>0</v>
      </c>
      <c r="D77" s="136"/>
      <c r="E77" s="136"/>
      <c r="F77" s="136">
        <f t="shared" si="2"/>
        <v>7740</v>
      </c>
      <c r="G77" s="100"/>
      <c r="H77" s="100">
        <v>5839</v>
      </c>
      <c r="I77" s="100">
        <v>1831</v>
      </c>
      <c r="J77" s="100"/>
      <c r="K77" s="100">
        <v>70</v>
      </c>
      <c r="L77" s="100"/>
      <c r="M77" s="100"/>
      <c r="N77" s="100"/>
      <c r="O77" s="160"/>
      <c r="P77" s="167"/>
    </row>
    <row r="78" spans="1:16" ht="40.950000000000003" customHeight="1" x14ac:dyDescent="0.35">
      <c r="A78" s="73" t="s">
        <v>748</v>
      </c>
      <c r="B78" s="192">
        <f t="shared" ref="B78:B140" si="3">SUM(C78+F78,L78,M78,N78,O78,P78)</f>
        <v>5232</v>
      </c>
      <c r="C78" s="136">
        <f t="shared" ref="C78:C140" si="4">D78+E78</f>
        <v>0</v>
      </c>
      <c r="D78" s="136"/>
      <c r="E78" s="136"/>
      <c r="F78" s="136">
        <f t="shared" ref="F78:F140" si="5">SUM(G78,H78,I78,J78,K78)</f>
        <v>5232</v>
      </c>
      <c r="G78" s="100"/>
      <c r="H78" s="100">
        <v>5232</v>
      </c>
      <c r="I78" s="100"/>
      <c r="J78" s="100"/>
      <c r="K78" s="100"/>
      <c r="L78" s="100"/>
      <c r="M78" s="100"/>
      <c r="N78" s="100"/>
      <c r="O78" s="160"/>
      <c r="P78" s="167"/>
    </row>
    <row r="79" spans="1:16" ht="18" customHeight="1" x14ac:dyDescent="0.35">
      <c r="A79" s="73" t="s">
        <v>9</v>
      </c>
      <c r="B79" s="192">
        <f t="shared" si="3"/>
        <v>103880</v>
      </c>
      <c r="C79" s="136">
        <f t="shared" si="4"/>
        <v>0</v>
      </c>
      <c r="D79" s="136"/>
      <c r="E79" s="136"/>
      <c r="F79" s="136">
        <f t="shared" si="5"/>
        <v>103880</v>
      </c>
      <c r="G79" s="100"/>
      <c r="H79" s="100">
        <v>103880</v>
      </c>
      <c r="I79" s="100"/>
      <c r="J79" s="100"/>
      <c r="K79" s="100"/>
      <c r="L79" s="100"/>
      <c r="M79" s="100"/>
      <c r="N79" s="100"/>
      <c r="O79" s="160"/>
      <c r="P79" s="167"/>
    </row>
    <row r="80" spans="1:16" ht="18" customHeight="1" x14ac:dyDescent="0.35">
      <c r="A80" s="132" t="s">
        <v>546</v>
      </c>
      <c r="B80" s="192">
        <f t="shared" si="3"/>
        <v>15599</v>
      </c>
      <c r="C80" s="136">
        <f t="shared" si="4"/>
        <v>0</v>
      </c>
      <c r="D80" s="136"/>
      <c r="E80" s="136"/>
      <c r="F80" s="136">
        <f t="shared" si="5"/>
        <v>15599</v>
      </c>
      <c r="G80" s="100"/>
      <c r="H80" s="100">
        <v>15599</v>
      </c>
      <c r="I80" s="100"/>
      <c r="J80" s="100"/>
      <c r="K80" s="100"/>
      <c r="L80" s="100"/>
      <c r="M80" s="100"/>
      <c r="N80" s="100"/>
      <c r="O80" s="160"/>
      <c r="P80" s="167"/>
    </row>
    <row r="81" spans="1:16" ht="20.399999999999999" customHeight="1" x14ac:dyDescent="0.35">
      <c r="A81" s="73" t="s">
        <v>106</v>
      </c>
      <c r="B81" s="192">
        <f t="shared" si="3"/>
        <v>161657</v>
      </c>
      <c r="C81" s="136">
        <f t="shared" si="4"/>
        <v>0</v>
      </c>
      <c r="D81" s="136"/>
      <c r="E81" s="136"/>
      <c r="F81" s="136">
        <f t="shared" si="5"/>
        <v>161657</v>
      </c>
      <c r="G81" s="100"/>
      <c r="H81" s="100">
        <v>159657</v>
      </c>
      <c r="I81" s="100"/>
      <c r="J81" s="100"/>
      <c r="K81" s="100">
        <v>2000</v>
      </c>
      <c r="L81" s="100"/>
      <c r="M81" s="100"/>
      <c r="N81" s="100"/>
      <c r="O81" s="160"/>
      <c r="P81" s="167"/>
    </row>
    <row r="82" spans="1:16" ht="21" customHeight="1" x14ac:dyDescent="0.35">
      <c r="A82" s="73" t="s">
        <v>110</v>
      </c>
      <c r="B82" s="192">
        <f t="shared" si="3"/>
        <v>139373</v>
      </c>
      <c r="C82" s="136">
        <f t="shared" si="4"/>
        <v>0</v>
      </c>
      <c r="D82" s="136"/>
      <c r="E82" s="136"/>
      <c r="F82" s="136">
        <f t="shared" si="5"/>
        <v>27549</v>
      </c>
      <c r="G82" s="100"/>
      <c r="H82" s="100">
        <v>27549</v>
      </c>
      <c r="I82" s="100"/>
      <c r="J82" s="100"/>
      <c r="K82" s="100"/>
      <c r="L82" s="100"/>
      <c r="M82" s="100"/>
      <c r="N82" s="100">
        <v>80824</v>
      </c>
      <c r="O82" s="160">
        <v>31000</v>
      </c>
      <c r="P82" s="167"/>
    </row>
    <row r="83" spans="1:16" ht="30" customHeight="1" x14ac:dyDescent="0.35">
      <c r="A83" s="73" t="s">
        <v>10</v>
      </c>
      <c r="B83" s="192">
        <f t="shared" si="3"/>
        <v>46270</v>
      </c>
      <c r="C83" s="136">
        <f t="shared" si="4"/>
        <v>37359</v>
      </c>
      <c r="D83" s="136">
        <v>30228</v>
      </c>
      <c r="E83" s="136">
        <v>7131</v>
      </c>
      <c r="F83" s="136">
        <f t="shared" si="5"/>
        <v>8911</v>
      </c>
      <c r="G83" s="100"/>
      <c r="H83" s="100">
        <v>3581</v>
      </c>
      <c r="I83" s="100">
        <v>5330</v>
      </c>
      <c r="J83" s="100"/>
      <c r="K83" s="100"/>
      <c r="L83" s="100"/>
      <c r="M83" s="100"/>
      <c r="N83" s="100"/>
      <c r="O83" s="160"/>
      <c r="P83" s="167"/>
    </row>
    <row r="84" spans="1:16" ht="30" customHeight="1" x14ac:dyDescent="0.35">
      <c r="A84" s="73" t="s">
        <v>550</v>
      </c>
      <c r="B84" s="192">
        <f t="shared" si="3"/>
        <v>182084</v>
      </c>
      <c r="C84" s="136">
        <f t="shared" si="4"/>
        <v>134379</v>
      </c>
      <c r="D84" s="136">
        <v>108729</v>
      </c>
      <c r="E84" s="136">
        <v>25650</v>
      </c>
      <c r="F84" s="136">
        <f t="shared" si="5"/>
        <v>47705</v>
      </c>
      <c r="G84" s="100"/>
      <c r="H84" s="100">
        <v>22176</v>
      </c>
      <c r="I84" s="100">
        <v>25169</v>
      </c>
      <c r="J84" s="100"/>
      <c r="K84" s="100">
        <v>360</v>
      </c>
      <c r="L84" s="100"/>
      <c r="M84" s="100"/>
      <c r="N84" s="100"/>
      <c r="O84" s="160"/>
      <c r="P84" s="167"/>
    </row>
    <row r="85" spans="1:16" ht="30" customHeight="1" x14ac:dyDescent="0.35">
      <c r="A85" s="73" t="s">
        <v>171</v>
      </c>
      <c r="B85" s="192">
        <f t="shared" si="3"/>
        <v>100134</v>
      </c>
      <c r="C85" s="136">
        <f t="shared" si="4"/>
        <v>69706</v>
      </c>
      <c r="D85" s="136">
        <v>56401</v>
      </c>
      <c r="E85" s="136">
        <v>13305</v>
      </c>
      <c r="F85" s="136">
        <f t="shared" si="5"/>
        <v>30428</v>
      </c>
      <c r="G85" s="100"/>
      <c r="H85" s="100">
        <v>7808</v>
      </c>
      <c r="I85" s="100">
        <v>22160</v>
      </c>
      <c r="J85" s="100"/>
      <c r="K85" s="100">
        <v>460</v>
      </c>
      <c r="L85" s="100"/>
      <c r="M85" s="100"/>
      <c r="N85" s="100"/>
      <c r="O85" s="160"/>
      <c r="P85" s="167"/>
    </row>
    <row r="86" spans="1:16" ht="25.95" customHeight="1" x14ac:dyDescent="0.35">
      <c r="A86" s="73" t="s">
        <v>11</v>
      </c>
      <c r="B86" s="192">
        <f t="shared" si="3"/>
        <v>56817</v>
      </c>
      <c r="C86" s="136">
        <f t="shared" si="4"/>
        <v>42004</v>
      </c>
      <c r="D86" s="136">
        <v>33986</v>
      </c>
      <c r="E86" s="136">
        <v>8018</v>
      </c>
      <c r="F86" s="136">
        <f t="shared" si="5"/>
        <v>14813</v>
      </c>
      <c r="G86" s="100"/>
      <c r="H86" s="100">
        <v>8323</v>
      </c>
      <c r="I86" s="100">
        <v>6170</v>
      </c>
      <c r="J86" s="100"/>
      <c r="K86" s="100">
        <v>320</v>
      </c>
      <c r="L86" s="100"/>
      <c r="M86" s="100"/>
      <c r="N86" s="100"/>
      <c r="O86" s="160"/>
      <c r="P86" s="167"/>
    </row>
    <row r="87" spans="1:16" s="66" customFormat="1" ht="30" customHeight="1" x14ac:dyDescent="0.35">
      <c r="A87" s="73" t="s">
        <v>12</v>
      </c>
      <c r="B87" s="192">
        <f t="shared" si="3"/>
        <v>59828</v>
      </c>
      <c r="C87" s="136">
        <f t="shared" si="4"/>
        <v>44973</v>
      </c>
      <c r="D87" s="136">
        <v>35451</v>
      </c>
      <c r="E87" s="136">
        <v>9522</v>
      </c>
      <c r="F87" s="136">
        <f t="shared" si="5"/>
        <v>14855</v>
      </c>
      <c r="G87" s="100"/>
      <c r="H87" s="100">
        <v>6344</v>
      </c>
      <c r="I87" s="100">
        <v>8361</v>
      </c>
      <c r="J87" s="100"/>
      <c r="K87" s="100">
        <v>150</v>
      </c>
      <c r="L87" s="100"/>
      <c r="M87" s="100"/>
      <c r="N87" s="100"/>
      <c r="O87" s="160"/>
      <c r="P87" s="168"/>
    </row>
    <row r="88" spans="1:16" ht="30" customHeight="1" x14ac:dyDescent="0.35">
      <c r="A88" s="73" t="s">
        <v>13</v>
      </c>
      <c r="B88" s="192">
        <f t="shared" si="3"/>
        <v>40774</v>
      </c>
      <c r="C88" s="136">
        <f t="shared" si="4"/>
        <v>24628</v>
      </c>
      <c r="D88" s="136">
        <v>20580</v>
      </c>
      <c r="E88" s="136">
        <v>4048</v>
      </c>
      <c r="F88" s="136">
        <f t="shared" si="5"/>
        <v>15146</v>
      </c>
      <c r="G88" s="100"/>
      <c r="H88" s="100">
        <v>10330</v>
      </c>
      <c r="I88" s="100">
        <v>4516</v>
      </c>
      <c r="J88" s="100"/>
      <c r="K88" s="100">
        <v>300</v>
      </c>
      <c r="L88" s="100"/>
      <c r="M88" s="100"/>
      <c r="N88" s="100">
        <v>1000</v>
      </c>
      <c r="O88" s="160"/>
      <c r="P88" s="167"/>
    </row>
    <row r="89" spans="1:16" ht="30" customHeight="1" x14ac:dyDescent="0.35">
      <c r="A89" s="73" t="s">
        <v>14</v>
      </c>
      <c r="B89" s="192">
        <f t="shared" si="3"/>
        <v>107998</v>
      </c>
      <c r="C89" s="136">
        <f t="shared" si="4"/>
        <v>78831</v>
      </c>
      <c r="D89" s="136">
        <v>63703</v>
      </c>
      <c r="E89" s="136">
        <v>15128</v>
      </c>
      <c r="F89" s="136">
        <f t="shared" si="5"/>
        <v>29167</v>
      </c>
      <c r="G89" s="100"/>
      <c r="H89" s="100">
        <v>22167</v>
      </c>
      <c r="I89" s="100">
        <v>6509</v>
      </c>
      <c r="J89" s="100"/>
      <c r="K89" s="100">
        <v>491</v>
      </c>
      <c r="L89" s="100"/>
      <c r="M89" s="100"/>
      <c r="N89" s="100"/>
      <c r="O89" s="160"/>
      <c r="P89" s="167"/>
    </row>
    <row r="90" spans="1:16" ht="21.75" customHeight="1" x14ac:dyDescent="0.35">
      <c r="A90" s="73" t="s">
        <v>211</v>
      </c>
      <c r="B90" s="192">
        <f t="shared" si="3"/>
        <v>109772</v>
      </c>
      <c r="C90" s="136">
        <f t="shared" si="4"/>
        <v>68233</v>
      </c>
      <c r="D90" s="136">
        <v>55128</v>
      </c>
      <c r="E90" s="136">
        <v>13105</v>
      </c>
      <c r="F90" s="136">
        <f t="shared" si="5"/>
        <v>41539</v>
      </c>
      <c r="G90" s="100"/>
      <c r="H90" s="100">
        <v>37149</v>
      </c>
      <c r="I90" s="100">
        <v>4390</v>
      </c>
      <c r="J90" s="100"/>
      <c r="K90" s="100"/>
      <c r="L90" s="100"/>
      <c r="M90" s="100"/>
      <c r="N90" s="100"/>
      <c r="O90" s="160"/>
      <c r="P90" s="167"/>
    </row>
    <row r="91" spans="1:16" ht="30" customHeight="1" x14ac:dyDescent="0.35">
      <c r="A91" s="182" t="s">
        <v>75</v>
      </c>
      <c r="B91" s="192">
        <f t="shared" si="3"/>
        <v>120889</v>
      </c>
      <c r="C91" s="136">
        <f t="shared" si="4"/>
        <v>75911</v>
      </c>
      <c r="D91" s="142">
        <v>61017</v>
      </c>
      <c r="E91" s="142">
        <v>14894</v>
      </c>
      <c r="F91" s="136">
        <f t="shared" si="5"/>
        <v>44978</v>
      </c>
      <c r="G91" s="100"/>
      <c r="H91" s="100">
        <v>29618</v>
      </c>
      <c r="I91" s="100">
        <v>14910</v>
      </c>
      <c r="J91" s="100"/>
      <c r="K91" s="100">
        <v>450</v>
      </c>
      <c r="L91" s="100"/>
      <c r="M91" s="100"/>
      <c r="N91" s="101"/>
      <c r="O91" s="160"/>
      <c r="P91" s="167"/>
    </row>
    <row r="92" spans="1:16" ht="19.5" customHeight="1" x14ac:dyDescent="0.35">
      <c r="A92" s="73" t="s">
        <v>15</v>
      </c>
      <c r="B92" s="192">
        <f t="shared" si="3"/>
        <v>60274</v>
      </c>
      <c r="C92" s="136">
        <f t="shared" si="4"/>
        <v>53641</v>
      </c>
      <c r="D92" s="136">
        <v>43402</v>
      </c>
      <c r="E92" s="136">
        <v>10239</v>
      </c>
      <c r="F92" s="136">
        <f t="shared" si="5"/>
        <v>6633</v>
      </c>
      <c r="G92" s="100"/>
      <c r="H92" s="100">
        <v>4165</v>
      </c>
      <c r="I92" s="100">
        <v>2468</v>
      </c>
      <c r="J92" s="100"/>
      <c r="K92" s="100"/>
      <c r="L92" s="100"/>
      <c r="M92" s="100"/>
      <c r="N92" s="100"/>
      <c r="O92" s="160"/>
      <c r="P92" s="167"/>
    </row>
    <row r="93" spans="1:16" ht="29.25" customHeight="1" x14ac:dyDescent="0.35">
      <c r="A93" s="73" t="s">
        <v>549</v>
      </c>
      <c r="B93" s="192">
        <f t="shared" si="3"/>
        <v>45137</v>
      </c>
      <c r="C93" s="136">
        <f t="shared" si="4"/>
        <v>35177</v>
      </c>
      <c r="D93" s="136">
        <v>28434</v>
      </c>
      <c r="E93" s="136">
        <v>6743</v>
      </c>
      <c r="F93" s="136">
        <f t="shared" si="5"/>
        <v>9960</v>
      </c>
      <c r="G93" s="100"/>
      <c r="H93" s="100">
        <v>7205</v>
      </c>
      <c r="I93" s="100">
        <v>2627</v>
      </c>
      <c r="J93" s="100"/>
      <c r="K93" s="100">
        <v>128</v>
      </c>
      <c r="L93" s="100"/>
      <c r="M93" s="100"/>
      <c r="N93" s="100"/>
      <c r="O93" s="160"/>
      <c r="P93" s="167"/>
    </row>
    <row r="94" spans="1:16" ht="25.5" customHeight="1" x14ac:dyDescent="0.35">
      <c r="A94" s="182" t="s">
        <v>76</v>
      </c>
      <c r="B94" s="192">
        <f t="shared" si="3"/>
        <v>188804</v>
      </c>
      <c r="C94" s="136">
        <f t="shared" si="4"/>
        <v>145832</v>
      </c>
      <c r="D94" s="142">
        <f>126952-9360</f>
        <v>117592</v>
      </c>
      <c r="E94" s="142">
        <f>30448-2208</f>
        <v>28240</v>
      </c>
      <c r="F94" s="136">
        <f t="shared" si="5"/>
        <v>42972</v>
      </c>
      <c r="G94" s="100"/>
      <c r="H94" s="100">
        <v>19215</v>
      </c>
      <c r="I94" s="100">
        <v>23557</v>
      </c>
      <c r="J94" s="100"/>
      <c r="K94" s="100">
        <v>200</v>
      </c>
      <c r="L94" s="100"/>
      <c r="M94" s="157"/>
      <c r="N94" s="158"/>
      <c r="O94" s="160"/>
      <c r="P94" s="167"/>
    </row>
    <row r="95" spans="1:16" ht="24.75" customHeight="1" x14ac:dyDescent="0.35">
      <c r="A95" s="73" t="s">
        <v>213</v>
      </c>
      <c r="B95" s="192">
        <f t="shared" si="3"/>
        <v>54177</v>
      </c>
      <c r="C95" s="136">
        <f t="shared" si="4"/>
        <v>41022</v>
      </c>
      <c r="D95" s="136">
        <v>33192</v>
      </c>
      <c r="E95" s="136">
        <v>7830</v>
      </c>
      <c r="F95" s="136">
        <f t="shared" si="5"/>
        <v>13155</v>
      </c>
      <c r="G95" s="100"/>
      <c r="H95" s="100">
        <v>7110</v>
      </c>
      <c r="I95" s="100">
        <v>6045</v>
      </c>
      <c r="J95" s="100"/>
      <c r="K95" s="100"/>
      <c r="L95" s="100"/>
      <c r="M95" s="100"/>
      <c r="N95" s="100"/>
      <c r="O95" s="160"/>
      <c r="P95" s="167"/>
    </row>
    <row r="96" spans="1:16" ht="27" customHeight="1" x14ac:dyDescent="0.35">
      <c r="A96" s="73" t="s">
        <v>16</v>
      </c>
      <c r="B96" s="192">
        <f t="shared" si="3"/>
        <v>109691</v>
      </c>
      <c r="C96" s="136">
        <f t="shared" si="4"/>
        <v>79486</v>
      </c>
      <c r="D96" s="136">
        <v>64314</v>
      </c>
      <c r="E96" s="136">
        <v>15172</v>
      </c>
      <c r="F96" s="136">
        <f t="shared" si="5"/>
        <v>26305</v>
      </c>
      <c r="G96" s="100"/>
      <c r="H96" s="100">
        <v>13792</v>
      </c>
      <c r="I96" s="100">
        <v>12303</v>
      </c>
      <c r="J96" s="100"/>
      <c r="K96" s="100">
        <v>210</v>
      </c>
      <c r="L96" s="100"/>
      <c r="M96" s="100"/>
      <c r="N96" s="100">
        <v>3900</v>
      </c>
      <c r="O96" s="160"/>
      <c r="P96" s="167"/>
    </row>
    <row r="97" spans="1:16" ht="31.5" customHeight="1" x14ac:dyDescent="0.35">
      <c r="A97" s="73" t="s">
        <v>17</v>
      </c>
      <c r="B97" s="192">
        <f t="shared" si="3"/>
        <v>77646</v>
      </c>
      <c r="C97" s="136">
        <f t="shared" si="4"/>
        <v>64068</v>
      </c>
      <c r="D97" s="136">
        <v>51839</v>
      </c>
      <c r="E97" s="136">
        <v>12229</v>
      </c>
      <c r="F97" s="136">
        <f t="shared" si="5"/>
        <v>13578</v>
      </c>
      <c r="G97" s="100"/>
      <c r="H97" s="100">
        <v>4298</v>
      </c>
      <c r="I97" s="100">
        <v>9060</v>
      </c>
      <c r="J97" s="100"/>
      <c r="K97" s="100">
        <v>220</v>
      </c>
      <c r="L97" s="100"/>
      <c r="M97" s="100"/>
      <c r="N97" s="100"/>
      <c r="O97" s="160"/>
      <c r="P97" s="167"/>
    </row>
    <row r="98" spans="1:16" ht="23.25" customHeight="1" x14ac:dyDescent="0.35">
      <c r="A98" s="73" t="s">
        <v>115</v>
      </c>
      <c r="B98" s="192">
        <f t="shared" si="3"/>
        <v>84747</v>
      </c>
      <c r="C98" s="136">
        <f t="shared" si="4"/>
        <v>33548</v>
      </c>
      <c r="D98" s="136">
        <v>27144</v>
      </c>
      <c r="E98" s="136">
        <v>6404</v>
      </c>
      <c r="F98" s="136">
        <f t="shared" si="5"/>
        <v>12839</v>
      </c>
      <c r="G98" s="100"/>
      <c r="H98" s="100">
        <v>5795</v>
      </c>
      <c r="I98" s="100">
        <v>6660</v>
      </c>
      <c r="J98" s="100"/>
      <c r="K98" s="84">
        <v>384</v>
      </c>
      <c r="L98" s="100"/>
      <c r="M98" s="100"/>
      <c r="N98" s="100">
        <v>38360</v>
      </c>
      <c r="O98" s="160"/>
      <c r="P98" s="167"/>
    </row>
    <row r="99" spans="1:16" ht="27.75" customHeight="1" x14ac:dyDescent="0.35">
      <c r="A99" s="73" t="s">
        <v>18</v>
      </c>
      <c r="B99" s="192">
        <f t="shared" si="3"/>
        <v>107410</v>
      </c>
      <c r="C99" s="136">
        <f t="shared" si="4"/>
        <v>86891</v>
      </c>
      <c r="D99" s="136">
        <v>70306</v>
      </c>
      <c r="E99" s="136">
        <v>16585</v>
      </c>
      <c r="F99" s="136">
        <f t="shared" si="5"/>
        <v>20519</v>
      </c>
      <c r="G99" s="100"/>
      <c r="H99" s="100">
        <v>7748</v>
      </c>
      <c r="I99" s="100">
        <v>12571</v>
      </c>
      <c r="J99" s="100"/>
      <c r="K99" s="100">
        <v>200</v>
      </c>
      <c r="L99" s="100"/>
      <c r="M99" s="100"/>
      <c r="N99" s="100"/>
      <c r="O99" s="160"/>
      <c r="P99" s="167"/>
    </row>
    <row r="100" spans="1:16" ht="27.75" customHeight="1" x14ac:dyDescent="0.35">
      <c r="A100" s="73" t="s">
        <v>547</v>
      </c>
      <c r="B100" s="192">
        <f t="shared" si="3"/>
        <v>16605</v>
      </c>
      <c r="C100" s="136">
        <f t="shared" si="4"/>
        <v>11569</v>
      </c>
      <c r="D100" s="136">
        <v>9360</v>
      </c>
      <c r="E100" s="136">
        <v>2209</v>
      </c>
      <c r="F100" s="136">
        <f t="shared" si="5"/>
        <v>5036</v>
      </c>
      <c r="G100" s="100"/>
      <c r="H100" s="100">
        <v>500</v>
      </c>
      <c r="I100" s="100">
        <v>4536</v>
      </c>
      <c r="J100" s="100"/>
      <c r="K100" s="100"/>
      <c r="L100" s="100"/>
      <c r="M100" s="100"/>
      <c r="N100" s="100"/>
      <c r="O100" s="160"/>
      <c r="P100" s="167"/>
    </row>
    <row r="101" spans="1:16" ht="27.75" customHeight="1" x14ac:dyDescent="0.35">
      <c r="A101" s="73" t="s">
        <v>548</v>
      </c>
      <c r="B101" s="192">
        <f t="shared" si="3"/>
        <v>49120</v>
      </c>
      <c r="C101" s="136">
        <f t="shared" si="4"/>
        <v>37878</v>
      </c>
      <c r="D101" s="136">
        <v>30648</v>
      </c>
      <c r="E101" s="136">
        <v>7230</v>
      </c>
      <c r="F101" s="136">
        <f t="shared" si="5"/>
        <v>10253</v>
      </c>
      <c r="G101" s="100"/>
      <c r="H101" s="100">
        <v>3226</v>
      </c>
      <c r="I101" s="100">
        <v>7027</v>
      </c>
      <c r="J101" s="100"/>
      <c r="K101" s="100"/>
      <c r="L101" s="100"/>
      <c r="M101" s="100"/>
      <c r="N101" s="100">
        <v>989</v>
      </c>
      <c r="O101" s="160"/>
      <c r="P101" s="167"/>
    </row>
    <row r="102" spans="1:16" ht="27.75" customHeight="1" x14ac:dyDescent="0.35">
      <c r="A102" s="132" t="s">
        <v>551</v>
      </c>
      <c r="B102" s="192">
        <f t="shared" si="3"/>
        <v>223535</v>
      </c>
      <c r="C102" s="136">
        <f t="shared" si="4"/>
        <v>175875</v>
      </c>
      <c r="D102" s="136">
        <f>152922-10725</f>
        <v>142197</v>
      </c>
      <c r="E102" s="136">
        <f>36208-2530</f>
        <v>33678</v>
      </c>
      <c r="F102" s="136">
        <f t="shared" si="5"/>
        <v>47660</v>
      </c>
      <c r="G102" s="100"/>
      <c r="H102" s="100">
        <v>20385</v>
      </c>
      <c r="I102" s="100">
        <v>27275</v>
      </c>
      <c r="J102" s="100"/>
      <c r="K102" s="100"/>
      <c r="L102" s="100"/>
      <c r="M102" s="100"/>
      <c r="N102" s="100"/>
      <c r="O102" s="160"/>
      <c r="P102" s="167"/>
    </row>
    <row r="103" spans="1:16" ht="30" customHeight="1" x14ac:dyDescent="0.35">
      <c r="A103" s="132" t="s">
        <v>642</v>
      </c>
      <c r="B103" s="192">
        <f t="shared" si="3"/>
        <v>79658</v>
      </c>
      <c r="C103" s="136">
        <f t="shared" si="4"/>
        <v>0</v>
      </c>
      <c r="D103" s="136"/>
      <c r="E103" s="136"/>
      <c r="F103" s="136">
        <f t="shared" si="5"/>
        <v>79658</v>
      </c>
      <c r="G103" s="100"/>
      <c r="H103" s="100">
        <v>78658</v>
      </c>
      <c r="I103" s="100">
        <v>1000</v>
      </c>
      <c r="J103" s="100"/>
      <c r="K103" s="100"/>
      <c r="L103" s="100"/>
      <c r="M103" s="100"/>
      <c r="N103" s="100"/>
      <c r="O103" s="160"/>
      <c r="P103" s="167"/>
    </row>
    <row r="104" spans="1:16" ht="30" customHeight="1" x14ac:dyDescent="0.35">
      <c r="A104" s="132" t="s">
        <v>650</v>
      </c>
      <c r="B104" s="192">
        <f t="shared" si="3"/>
        <v>200</v>
      </c>
      <c r="C104" s="136">
        <f t="shared" si="4"/>
        <v>0</v>
      </c>
      <c r="D104" s="136"/>
      <c r="E104" s="136"/>
      <c r="F104" s="136">
        <f t="shared" si="5"/>
        <v>200</v>
      </c>
      <c r="G104" s="100"/>
      <c r="H104" s="100">
        <v>200</v>
      </c>
      <c r="I104" s="100"/>
      <c r="J104" s="100"/>
      <c r="K104" s="100"/>
      <c r="L104" s="100"/>
      <c r="M104" s="100"/>
      <c r="N104" s="100"/>
      <c r="O104" s="160"/>
      <c r="P104" s="167"/>
    </row>
    <row r="105" spans="1:16" ht="30" customHeight="1" x14ac:dyDescent="0.35">
      <c r="A105" s="132" t="s">
        <v>643</v>
      </c>
      <c r="B105" s="192">
        <f t="shared" si="3"/>
        <v>340</v>
      </c>
      <c r="C105" s="136">
        <f t="shared" si="4"/>
        <v>0</v>
      </c>
      <c r="D105" s="136"/>
      <c r="E105" s="136"/>
      <c r="F105" s="136">
        <f t="shared" si="5"/>
        <v>340</v>
      </c>
      <c r="G105" s="100"/>
      <c r="H105" s="100">
        <v>340</v>
      </c>
      <c r="I105" s="100"/>
      <c r="J105" s="100"/>
      <c r="K105" s="100"/>
      <c r="L105" s="100"/>
      <c r="M105" s="100"/>
      <c r="N105" s="100"/>
      <c r="O105" s="160"/>
      <c r="P105" s="167"/>
    </row>
    <row r="106" spans="1:16" ht="30" customHeight="1" x14ac:dyDescent="0.35">
      <c r="A106" s="132" t="s">
        <v>644</v>
      </c>
      <c r="B106" s="192">
        <f t="shared" si="3"/>
        <v>1810</v>
      </c>
      <c r="C106" s="136">
        <f t="shared" si="4"/>
        <v>0</v>
      </c>
      <c r="D106" s="136"/>
      <c r="E106" s="136"/>
      <c r="F106" s="136">
        <f t="shared" si="5"/>
        <v>1810</v>
      </c>
      <c r="G106" s="100"/>
      <c r="H106" s="100">
        <v>1810</v>
      </c>
      <c r="I106" s="100"/>
      <c r="J106" s="100"/>
      <c r="K106" s="100"/>
      <c r="L106" s="100"/>
      <c r="M106" s="100"/>
      <c r="N106" s="100"/>
      <c r="O106" s="160"/>
      <c r="P106" s="167"/>
    </row>
    <row r="107" spans="1:16" ht="30" customHeight="1" x14ac:dyDescent="0.35">
      <c r="A107" s="132" t="s">
        <v>645</v>
      </c>
      <c r="B107" s="192">
        <f t="shared" si="3"/>
        <v>3043</v>
      </c>
      <c r="C107" s="136">
        <f t="shared" si="4"/>
        <v>0</v>
      </c>
      <c r="D107" s="136"/>
      <c r="E107" s="136"/>
      <c r="F107" s="136">
        <f t="shared" si="5"/>
        <v>3043</v>
      </c>
      <c r="G107" s="100"/>
      <c r="H107" s="100">
        <v>3043</v>
      </c>
      <c r="I107" s="100"/>
      <c r="J107" s="100"/>
      <c r="K107" s="100"/>
      <c r="L107" s="100"/>
      <c r="M107" s="100"/>
      <c r="N107" s="100"/>
      <c r="O107" s="160"/>
      <c r="P107" s="167"/>
    </row>
    <row r="108" spans="1:16" ht="30" customHeight="1" x14ac:dyDescent="0.35">
      <c r="A108" s="132" t="s">
        <v>646</v>
      </c>
      <c r="B108" s="192">
        <f t="shared" si="3"/>
        <v>3750</v>
      </c>
      <c r="C108" s="136">
        <f t="shared" si="4"/>
        <v>0</v>
      </c>
      <c r="D108" s="136"/>
      <c r="E108" s="136"/>
      <c r="F108" s="136">
        <f t="shared" si="5"/>
        <v>3750</v>
      </c>
      <c r="G108" s="100"/>
      <c r="H108" s="100">
        <v>3750</v>
      </c>
      <c r="I108" s="100"/>
      <c r="J108" s="100"/>
      <c r="K108" s="100"/>
      <c r="L108" s="100"/>
      <c r="M108" s="100"/>
      <c r="N108" s="100"/>
      <c r="O108" s="160"/>
      <c r="P108" s="167"/>
    </row>
    <row r="109" spans="1:16" ht="30" customHeight="1" x14ac:dyDescent="0.35">
      <c r="A109" s="132" t="s">
        <v>657</v>
      </c>
      <c r="B109" s="192">
        <f t="shared" si="3"/>
        <v>9400</v>
      </c>
      <c r="C109" s="136">
        <f t="shared" si="4"/>
        <v>0</v>
      </c>
      <c r="D109" s="136"/>
      <c r="E109" s="136"/>
      <c r="F109" s="136">
        <f t="shared" si="5"/>
        <v>9400</v>
      </c>
      <c r="G109" s="100"/>
      <c r="H109" s="100">
        <v>9400</v>
      </c>
      <c r="I109" s="100"/>
      <c r="J109" s="100"/>
      <c r="K109" s="100"/>
      <c r="L109" s="100"/>
      <c r="M109" s="100"/>
      <c r="N109" s="100"/>
      <c r="O109" s="160"/>
      <c r="P109" s="167"/>
    </row>
    <row r="110" spans="1:16" ht="30" customHeight="1" x14ac:dyDescent="0.35">
      <c r="A110" s="132" t="s">
        <v>652</v>
      </c>
      <c r="B110" s="192">
        <f t="shared" si="3"/>
        <v>2415</v>
      </c>
      <c r="C110" s="136">
        <f t="shared" si="4"/>
        <v>0</v>
      </c>
      <c r="D110" s="136"/>
      <c r="E110" s="136"/>
      <c r="F110" s="136">
        <f t="shared" si="5"/>
        <v>2415</v>
      </c>
      <c r="G110" s="100"/>
      <c r="H110" s="100">
        <v>2415</v>
      </c>
      <c r="I110" s="100"/>
      <c r="J110" s="100"/>
      <c r="K110" s="100"/>
      <c r="L110" s="100"/>
      <c r="M110" s="100"/>
      <c r="N110" s="100"/>
      <c r="O110" s="160"/>
      <c r="P110" s="167"/>
    </row>
    <row r="111" spans="1:16" ht="30" customHeight="1" x14ac:dyDescent="0.35">
      <c r="A111" s="132" t="s">
        <v>647</v>
      </c>
      <c r="B111" s="192">
        <f t="shared" si="3"/>
        <v>60</v>
      </c>
      <c r="C111" s="136">
        <f t="shared" si="4"/>
        <v>0</v>
      </c>
      <c r="D111" s="136"/>
      <c r="E111" s="136"/>
      <c r="F111" s="136">
        <f t="shared" si="5"/>
        <v>60</v>
      </c>
      <c r="G111" s="100"/>
      <c r="H111" s="100">
        <v>60</v>
      </c>
      <c r="I111" s="100"/>
      <c r="J111" s="100"/>
      <c r="K111" s="100"/>
      <c r="L111" s="100"/>
      <c r="M111" s="100"/>
      <c r="N111" s="100"/>
      <c r="O111" s="160"/>
      <c r="P111" s="167"/>
    </row>
    <row r="112" spans="1:16" ht="30" customHeight="1" x14ac:dyDescent="0.35">
      <c r="A112" s="132" t="s">
        <v>656</v>
      </c>
      <c r="B112" s="192">
        <f t="shared" si="3"/>
        <v>191</v>
      </c>
      <c r="C112" s="136">
        <f t="shared" si="4"/>
        <v>0</v>
      </c>
      <c r="D112" s="136"/>
      <c r="E112" s="136"/>
      <c r="F112" s="136">
        <f t="shared" si="5"/>
        <v>191</v>
      </c>
      <c r="G112" s="100"/>
      <c r="H112" s="100">
        <v>191</v>
      </c>
      <c r="I112" s="100"/>
      <c r="J112" s="100"/>
      <c r="K112" s="100"/>
      <c r="L112" s="100"/>
      <c r="M112" s="100"/>
      <c r="N112" s="100"/>
      <c r="O112" s="160"/>
      <c r="P112" s="167"/>
    </row>
    <row r="113" spans="1:16" ht="30" customHeight="1" x14ac:dyDescent="0.35">
      <c r="A113" s="132" t="s">
        <v>651</v>
      </c>
      <c r="B113" s="192">
        <f t="shared" si="3"/>
        <v>1775</v>
      </c>
      <c r="C113" s="136">
        <f t="shared" si="4"/>
        <v>0</v>
      </c>
      <c r="D113" s="136"/>
      <c r="E113" s="136"/>
      <c r="F113" s="136">
        <f t="shared" si="5"/>
        <v>1775</v>
      </c>
      <c r="G113" s="100"/>
      <c r="H113" s="100">
        <v>1775</v>
      </c>
      <c r="I113" s="100"/>
      <c r="J113" s="100"/>
      <c r="K113" s="100"/>
      <c r="L113" s="100"/>
      <c r="M113" s="100"/>
      <c r="N113" s="100"/>
      <c r="O113" s="160"/>
      <c r="P113" s="167"/>
    </row>
    <row r="114" spans="1:16" ht="30" customHeight="1" x14ac:dyDescent="0.35">
      <c r="A114" s="132" t="s">
        <v>655</v>
      </c>
      <c r="B114" s="192">
        <f t="shared" si="3"/>
        <v>450</v>
      </c>
      <c r="C114" s="136">
        <f t="shared" si="4"/>
        <v>0</v>
      </c>
      <c r="D114" s="136"/>
      <c r="E114" s="136"/>
      <c r="F114" s="136">
        <f t="shared" si="5"/>
        <v>450</v>
      </c>
      <c r="G114" s="100"/>
      <c r="H114" s="100">
        <v>450</v>
      </c>
      <c r="I114" s="100"/>
      <c r="J114" s="100"/>
      <c r="K114" s="100"/>
      <c r="L114" s="100"/>
      <c r="M114" s="100"/>
      <c r="N114" s="100"/>
      <c r="O114" s="160"/>
      <c r="P114" s="167"/>
    </row>
    <row r="115" spans="1:16" ht="30" customHeight="1" x14ac:dyDescent="0.35">
      <c r="A115" s="132" t="s">
        <v>648</v>
      </c>
      <c r="B115" s="192">
        <f t="shared" si="3"/>
        <v>800</v>
      </c>
      <c r="C115" s="136">
        <f t="shared" si="4"/>
        <v>0</v>
      </c>
      <c r="D115" s="136"/>
      <c r="E115" s="136"/>
      <c r="F115" s="136">
        <f t="shared" si="5"/>
        <v>800</v>
      </c>
      <c r="G115" s="100"/>
      <c r="H115" s="100">
        <v>800</v>
      </c>
      <c r="I115" s="100"/>
      <c r="J115" s="100"/>
      <c r="K115" s="100"/>
      <c r="L115" s="100"/>
      <c r="M115" s="100"/>
      <c r="N115" s="100"/>
      <c r="O115" s="160"/>
      <c r="P115" s="167"/>
    </row>
    <row r="116" spans="1:16" ht="30" customHeight="1" x14ac:dyDescent="0.35">
      <c r="A116" s="132" t="s">
        <v>653</v>
      </c>
      <c r="B116" s="192">
        <f t="shared" si="3"/>
        <v>1895</v>
      </c>
      <c r="C116" s="136">
        <f t="shared" si="4"/>
        <v>0</v>
      </c>
      <c r="D116" s="136"/>
      <c r="E116" s="136"/>
      <c r="F116" s="136">
        <f t="shared" si="5"/>
        <v>1895</v>
      </c>
      <c r="G116" s="100"/>
      <c r="H116" s="100">
        <v>1895</v>
      </c>
      <c r="I116" s="100"/>
      <c r="J116" s="100"/>
      <c r="K116" s="100"/>
      <c r="L116" s="100"/>
      <c r="M116" s="100"/>
      <c r="N116" s="100"/>
      <c r="O116" s="160"/>
      <c r="P116" s="167"/>
    </row>
    <row r="117" spans="1:16" ht="30" customHeight="1" x14ac:dyDescent="0.35">
      <c r="A117" s="132" t="s">
        <v>649</v>
      </c>
      <c r="B117" s="192">
        <f t="shared" si="3"/>
        <v>665</v>
      </c>
      <c r="C117" s="136">
        <f t="shared" si="4"/>
        <v>0</v>
      </c>
      <c r="D117" s="136"/>
      <c r="E117" s="136"/>
      <c r="F117" s="136">
        <f t="shared" si="5"/>
        <v>665</v>
      </c>
      <c r="G117" s="100"/>
      <c r="H117" s="100">
        <v>665</v>
      </c>
      <c r="I117" s="100"/>
      <c r="J117" s="100"/>
      <c r="K117" s="100"/>
      <c r="L117" s="100"/>
      <c r="M117" s="100"/>
      <c r="N117" s="100"/>
      <c r="O117" s="160"/>
      <c r="P117" s="167"/>
    </row>
    <row r="118" spans="1:16" ht="30" customHeight="1" x14ac:dyDescent="0.35">
      <c r="A118" s="132" t="s">
        <v>629</v>
      </c>
      <c r="B118" s="192">
        <f t="shared" si="3"/>
        <v>5000</v>
      </c>
      <c r="C118" s="136">
        <f t="shared" si="4"/>
        <v>0</v>
      </c>
      <c r="D118" s="136"/>
      <c r="E118" s="136"/>
      <c r="F118" s="136">
        <f t="shared" si="5"/>
        <v>5000</v>
      </c>
      <c r="G118" s="100"/>
      <c r="H118" s="100">
        <v>5000</v>
      </c>
      <c r="I118" s="100"/>
      <c r="J118" s="100"/>
      <c r="K118" s="100"/>
      <c r="L118" s="100"/>
      <c r="M118" s="100"/>
      <c r="N118" s="100"/>
      <c r="O118" s="160"/>
      <c r="P118" s="167"/>
    </row>
    <row r="119" spans="1:16" ht="30" customHeight="1" x14ac:dyDescent="0.35">
      <c r="A119" s="132" t="s">
        <v>654</v>
      </c>
      <c r="B119" s="192">
        <f t="shared" si="3"/>
        <v>5310</v>
      </c>
      <c r="C119" s="136">
        <f t="shared" si="4"/>
        <v>0</v>
      </c>
      <c r="D119" s="136"/>
      <c r="E119" s="136"/>
      <c r="F119" s="136">
        <f t="shared" si="5"/>
        <v>5310</v>
      </c>
      <c r="G119" s="100"/>
      <c r="H119" s="100">
        <v>5310</v>
      </c>
      <c r="I119" s="100"/>
      <c r="J119" s="100"/>
      <c r="K119" s="100"/>
      <c r="L119" s="100"/>
      <c r="M119" s="100"/>
      <c r="N119" s="100"/>
      <c r="O119" s="160"/>
      <c r="P119" s="167"/>
    </row>
    <row r="120" spans="1:16" ht="27.75" customHeight="1" x14ac:dyDescent="0.35">
      <c r="A120" s="132" t="s">
        <v>530</v>
      </c>
      <c r="B120" s="192">
        <f t="shared" si="3"/>
        <v>487701</v>
      </c>
      <c r="C120" s="136">
        <f t="shared" si="4"/>
        <v>356773</v>
      </c>
      <c r="D120" s="136">
        <v>285842</v>
      </c>
      <c r="E120" s="136">
        <v>70931</v>
      </c>
      <c r="F120" s="136">
        <f t="shared" si="5"/>
        <v>130928</v>
      </c>
      <c r="G120" s="100">
        <v>25</v>
      </c>
      <c r="H120" s="100">
        <v>66749</v>
      </c>
      <c r="I120" s="100">
        <v>63986</v>
      </c>
      <c r="J120" s="100"/>
      <c r="K120" s="100">
        <v>168</v>
      </c>
      <c r="L120" s="100"/>
      <c r="M120" s="100"/>
      <c r="N120" s="100"/>
      <c r="O120" s="160"/>
      <c r="P120" s="167"/>
    </row>
    <row r="121" spans="1:16" ht="30" customHeight="1" x14ac:dyDescent="0.35">
      <c r="A121" s="132" t="s">
        <v>721</v>
      </c>
      <c r="B121" s="192">
        <f t="shared" si="3"/>
        <v>64916</v>
      </c>
      <c r="C121" s="136">
        <f t="shared" si="4"/>
        <v>40056</v>
      </c>
      <c r="D121" s="136">
        <v>32410</v>
      </c>
      <c r="E121" s="136">
        <v>7646</v>
      </c>
      <c r="F121" s="136">
        <f t="shared" si="5"/>
        <v>24860</v>
      </c>
      <c r="G121" s="100"/>
      <c r="H121" s="100">
        <v>1710</v>
      </c>
      <c r="I121" s="100">
        <v>23150</v>
      </c>
      <c r="J121" s="100"/>
      <c r="K121" s="100"/>
      <c r="L121" s="100"/>
      <c r="M121" s="100"/>
      <c r="N121" s="100"/>
      <c r="O121" s="160"/>
      <c r="P121" s="167"/>
    </row>
    <row r="122" spans="1:16" ht="30" customHeight="1" x14ac:dyDescent="0.35">
      <c r="A122" s="73" t="s">
        <v>720</v>
      </c>
      <c r="B122" s="192">
        <f t="shared" si="3"/>
        <v>111409</v>
      </c>
      <c r="C122" s="136">
        <f t="shared" si="4"/>
        <v>33715</v>
      </c>
      <c r="D122" s="136">
        <v>27280</v>
      </c>
      <c r="E122" s="136">
        <v>6435</v>
      </c>
      <c r="F122" s="136">
        <f t="shared" si="5"/>
        <v>77694</v>
      </c>
      <c r="G122" s="100"/>
      <c r="H122" s="100">
        <v>7700</v>
      </c>
      <c r="I122" s="100">
        <v>69194</v>
      </c>
      <c r="J122" s="100"/>
      <c r="K122" s="100">
        <v>800</v>
      </c>
      <c r="L122" s="100"/>
      <c r="M122" s="100"/>
      <c r="N122" s="100"/>
      <c r="O122" s="160"/>
      <c r="P122" s="167"/>
    </row>
    <row r="123" spans="1:16" ht="30" customHeight="1" x14ac:dyDescent="0.35">
      <c r="A123" s="73" t="s">
        <v>762</v>
      </c>
      <c r="B123" s="192">
        <f t="shared" si="3"/>
        <v>46921</v>
      </c>
      <c r="C123" s="136">
        <f t="shared" si="4"/>
        <v>38611</v>
      </c>
      <c r="D123" s="136">
        <v>31241</v>
      </c>
      <c r="E123" s="136">
        <v>7370</v>
      </c>
      <c r="F123" s="136">
        <f t="shared" si="5"/>
        <v>8310</v>
      </c>
      <c r="G123" s="100"/>
      <c r="H123" s="100"/>
      <c r="I123" s="100">
        <v>8010</v>
      </c>
      <c r="J123" s="100"/>
      <c r="K123" s="100">
        <v>300</v>
      </c>
      <c r="L123" s="100"/>
      <c r="M123" s="100"/>
      <c r="N123" s="100"/>
      <c r="O123" s="160"/>
      <c r="P123" s="167"/>
    </row>
    <row r="124" spans="1:16" ht="30" customHeight="1" x14ac:dyDescent="0.35">
      <c r="A124" s="73" t="s">
        <v>750</v>
      </c>
      <c r="B124" s="192">
        <f t="shared" si="3"/>
        <v>77191</v>
      </c>
      <c r="C124" s="136">
        <f t="shared" si="4"/>
        <v>51421</v>
      </c>
      <c r="D124" s="136">
        <v>41606</v>
      </c>
      <c r="E124" s="136">
        <v>9815</v>
      </c>
      <c r="F124" s="136">
        <f t="shared" si="5"/>
        <v>25770</v>
      </c>
      <c r="G124" s="100"/>
      <c r="H124" s="100">
        <v>6760</v>
      </c>
      <c r="I124" s="100">
        <v>18380</v>
      </c>
      <c r="J124" s="100"/>
      <c r="K124" s="100">
        <v>630</v>
      </c>
      <c r="L124" s="100"/>
      <c r="M124" s="100"/>
      <c r="N124" s="100"/>
      <c r="O124" s="160"/>
      <c r="P124" s="167"/>
    </row>
    <row r="125" spans="1:16" ht="30" customHeight="1" x14ac:dyDescent="0.35">
      <c r="A125" s="73" t="s">
        <v>751</v>
      </c>
      <c r="B125" s="192">
        <f t="shared" si="3"/>
        <v>33862</v>
      </c>
      <c r="C125" s="136">
        <f t="shared" si="4"/>
        <v>26424</v>
      </c>
      <c r="D125" s="136">
        <v>21380</v>
      </c>
      <c r="E125" s="136">
        <v>5044</v>
      </c>
      <c r="F125" s="136">
        <f t="shared" si="5"/>
        <v>7438</v>
      </c>
      <c r="G125" s="100"/>
      <c r="H125" s="100">
        <v>1770</v>
      </c>
      <c r="I125" s="100">
        <v>5418</v>
      </c>
      <c r="J125" s="100"/>
      <c r="K125" s="100">
        <v>250</v>
      </c>
      <c r="L125" s="100"/>
      <c r="M125" s="100"/>
      <c r="N125" s="100"/>
      <c r="O125" s="160"/>
      <c r="P125" s="167"/>
    </row>
    <row r="126" spans="1:16" ht="38.25" customHeight="1" x14ac:dyDescent="0.35">
      <c r="A126" s="73" t="s">
        <v>722</v>
      </c>
      <c r="B126" s="192">
        <f t="shared" si="3"/>
        <v>95556</v>
      </c>
      <c r="C126" s="136">
        <f t="shared" si="4"/>
        <v>39245</v>
      </c>
      <c r="D126" s="136">
        <v>31754</v>
      </c>
      <c r="E126" s="136">
        <v>7491</v>
      </c>
      <c r="F126" s="136">
        <f t="shared" si="5"/>
        <v>56311</v>
      </c>
      <c r="G126" s="100"/>
      <c r="H126" s="100">
        <v>4644</v>
      </c>
      <c r="I126" s="100">
        <v>50780</v>
      </c>
      <c r="J126" s="100"/>
      <c r="K126" s="100">
        <v>887</v>
      </c>
      <c r="L126" s="100"/>
      <c r="M126" s="100"/>
      <c r="N126" s="100"/>
      <c r="O126" s="160"/>
      <c r="P126" s="167"/>
    </row>
    <row r="127" spans="1:16" ht="35.25" customHeight="1" x14ac:dyDescent="0.35">
      <c r="A127" s="73" t="s">
        <v>723</v>
      </c>
      <c r="B127" s="192">
        <f t="shared" si="3"/>
        <v>100383</v>
      </c>
      <c r="C127" s="136">
        <f t="shared" si="4"/>
        <v>37660</v>
      </c>
      <c r="D127" s="136">
        <v>30472</v>
      </c>
      <c r="E127" s="136">
        <v>7188</v>
      </c>
      <c r="F127" s="136">
        <f t="shared" si="5"/>
        <v>62723</v>
      </c>
      <c r="G127" s="100"/>
      <c r="H127" s="100">
        <v>8024</v>
      </c>
      <c r="I127" s="100">
        <v>53399</v>
      </c>
      <c r="J127" s="100"/>
      <c r="K127" s="100">
        <v>1300</v>
      </c>
      <c r="L127" s="100"/>
      <c r="M127" s="100"/>
      <c r="N127" s="100"/>
      <c r="O127" s="160"/>
      <c r="P127" s="167"/>
    </row>
    <row r="128" spans="1:16" ht="24.75" customHeight="1" x14ac:dyDescent="0.35">
      <c r="A128" s="181" t="s">
        <v>121</v>
      </c>
      <c r="B128" s="192">
        <f t="shared" si="3"/>
        <v>3905</v>
      </c>
      <c r="C128" s="136">
        <f t="shared" si="4"/>
        <v>0</v>
      </c>
      <c r="D128" s="136"/>
      <c r="E128" s="136"/>
      <c r="F128" s="136">
        <f t="shared" si="5"/>
        <v>3905</v>
      </c>
      <c r="G128" s="100"/>
      <c r="H128" s="100">
        <v>3060</v>
      </c>
      <c r="I128" s="100">
        <v>640</v>
      </c>
      <c r="J128" s="100"/>
      <c r="K128" s="100">
        <v>205</v>
      </c>
      <c r="L128" s="100"/>
      <c r="M128" s="100"/>
      <c r="N128" s="100"/>
      <c r="O128" s="160"/>
      <c r="P128" s="167"/>
    </row>
    <row r="129" spans="1:16" ht="24.75" customHeight="1" x14ac:dyDescent="0.35">
      <c r="A129" s="181" t="s">
        <v>120</v>
      </c>
      <c r="B129" s="192">
        <f t="shared" si="3"/>
        <v>10242</v>
      </c>
      <c r="C129" s="136">
        <f t="shared" si="4"/>
        <v>0</v>
      </c>
      <c r="D129" s="136"/>
      <c r="E129" s="136"/>
      <c r="F129" s="136">
        <f t="shared" si="5"/>
        <v>10242</v>
      </c>
      <c r="G129" s="100"/>
      <c r="H129" s="100">
        <v>7814</v>
      </c>
      <c r="I129" s="100">
        <v>2274</v>
      </c>
      <c r="J129" s="100"/>
      <c r="K129" s="100">
        <v>154</v>
      </c>
      <c r="L129" s="100"/>
      <c r="M129" s="100"/>
      <c r="N129" s="100"/>
      <c r="O129" s="160"/>
      <c r="P129" s="167"/>
    </row>
    <row r="130" spans="1:16" ht="27.75" customHeight="1" x14ac:dyDescent="0.35">
      <c r="A130" s="73" t="s">
        <v>552</v>
      </c>
      <c r="B130" s="192">
        <f t="shared" si="3"/>
        <v>8200</v>
      </c>
      <c r="C130" s="136">
        <f t="shared" si="4"/>
        <v>0</v>
      </c>
      <c r="D130" s="136"/>
      <c r="E130" s="136"/>
      <c r="F130" s="136">
        <f t="shared" si="5"/>
        <v>8200</v>
      </c>
      <c r="G130" s="100"/>
      <c r="H130" s="100">
        <v>5626</v>
      </c>
      <c r="I130" s="100">
        <v>2174</v>
      </c>
      <c r="J130" s="100"/>
      <c r="K130" s="100">
        <v>400</v>
      </c>
      <c r="L130" s="100"/>
      <c r="M130" s="100"/>
      <c r="N130" s="100"/>
      <c r="O130" s="160"/>
      <c r="P130" s="167"/>
    </row>
    <row r="131" spans="1:16" ht="30" customHeight="1" x14ac:dyDescent="0.35">
      <c r="A131" s="73" t="s">
        <v>553</v>
      </c>
      <c r="B131" s="192">
        <f t="shared" si="3"/>
        <v>9140</v>
      </c>
      <c r="C131" s="136">
        <f t="shared" si="4"/>
        <v>0</v>
      </c>
      <c r="D131" s="136"/>
      <c r="E131" s="136"/>
      <c r="F131" s="136">
        <f t="shared" si="5"/>
        <v>9140</v>
      </c>
      <c r="G131" s="100"/>
      <c r="H131" s="100">
        <v>7840</v>
      </c>
      <c r="I131" s="100">
        <v>700</v>
      </c>
      <c r="J131" s="100"/>
      <c r="K131" s="100">
        <v>600</v>
      </c>
      <c r="L131" s="100"/>
      <c r="M131" s="100"/>
      <c r="N131" s="100"/>
      <c r="O131" s="160"/>
      <c r="P131" s="167"/>
    </row>
    <row r="132" spans="1:16" ht="30" customHeight="1" x14ac:dyDescent="0.35">
      <c r="A132" s="73" t="s">
        <v>554</v>
      </c>
      <c r="B132" s="192">
        <f t="shared" si="3"/>
        <v>4293</v>
      </c>
      <c r="C132" s="136">
        <f t="shared" si="4"/>
        <v>0</v>
      </c>
      <c r="D132" s="136"/>
      <c r="E132" s="136"/>
      <c r="F132" s="136">
        <f t="shared" si="5"/>
        <v>4293</v>
      </c>
      <c r="G132" s="100"/>
      <c r="H132" s="100">
        <v>3073</v>
      </c>
      <c r="I132" s="100">
        <v>1000</v>
      </c>
      <c r="J132" s="100"/>
      <c r="K132" s="100">
        <v>220</v>
      </c>
      <c r="L132" s="100"/>
      <c r="M132" s="100"/>
      <c r="N132" s="100"/>
      <c r="O132" s="160"/>
      <c r="P132" s="167"/>
    </row>
    <row r="133" spans="1:16" ht="30" customHeight="1" x14ac:dyDescent="0.35">
      <c r="A133" s="73" t="s">
        <v>555</v>
      </c>
      <c r="B133" s="192">
        <f t="shared" si="3"/>
        <v>4850</v>
      </c>
      <c r="C133" s="136">
        <f t="shared" si="4"/>
        <v>0</v>
      </c>
      <c r="D133" s="136"/>
      <c r="E133" s="136"/>
      <c r="F133" s="136">
        <f t="shared" si="5"/>
        <v>4850</v>
      </c>
      <c r="G133" s="100"/>
      <c r="H133" s="100">
        <v>4150</v>
      </c>
      <c r="I133" s="100">
        <v>500</v>
      </c>
      <c r="J133" s="100"/>
      <c r="K133" s="100">
        <v>200</v>
      </c>
      <c r="L133" s="100"/>
      <c r="M133" s="100"/>
      <c r="N133" s="100"/>
      <c r="O133" s="160"/>
      <c r="P133" s="167"/>
    </row>
    <row r="134" spans="1:16" ht="30" customHeight="1" x14ac:dyDescent="0.35">
      <c r="A134" s="73" t="s">
        <v>556</v>
      </c>
      <c r="B134" s="192">
        <f t="shared" si="3"/>
        <v>7610</v>
      </c>
      <c r="C134" s="136">
        <f t="shared" si="4"/>
        <v>0</v>
      </c>
      <c r="D134" s="136"/>
      <c r="E134" s="136"/>
      <c r="F134" s="136">
        <f t="shared" si="5"/>
        <v>7610</v>
      </c>
      <c r="G134" s="100"/>
      <c r="H134" s="100">
        <v>6469</v>
      </c>
      <c r="I134" s="100">
        <v>591</v>
      </c>
      <c r="J134" s="100"/>
      <c r="K134" s="100">
        <v>550</v>
      </c>
      <c r="L134" s="100"/>
      <c r="M134" s="100"/>
      <c r="N134" s="100"/>
      <c r="O134" s="160"/>
      <c r="P134" s="167"/>
    </row>
    <row r="135" spans="1:16" ht="30" customHeight="1" x14ac:dyDescent="0.35">
      <c r="A135" s="73" t="s">
        <v>557</v>
      </c>
      <c r="B135" s="192">
        <f t="shared" si="3"/>
        <v>6400</v>
      </c>
      <c r="C135" s="136">
        <f t="shared" si="4"/>
        <v>0</v>
      </c>
      <c r="D135" s="136"/>
      <c r="E135" s="136"/>
      <c r="F135" s="136">
        <f t="shared" si="5"/>
        <v>6400</v>
      </c>
      <c r="G135" s="100"/>
      <c r="H135" s="100">
        <v>4250</v>
      </c>
      <c r="I135" s="100">
        <v>1700</v>
      </c>
      <c r="J135" s="100"/>
      <c r="K135" s="100">
        <v>450</v>
      </c>
      <c r="L135" s="100"/>
      <c r="M135" s="100"/>
      <c r="N135" s="100"/>
      <c r="O135" s="160"/>
      <c r="P135" s="167"/>
    </row>
    <row r="136" spans="1:16" ht="23.25" customHeight="1" x14ac:dyDescent="0.35">
      <c r="A136" s="183" t="s">
        <v>77</v>
      </c>
      <c r="B136" s="192">
        <f t="shared" si="3"/>
        <v>10679</v>
      </c>
      <c r="C136" s="136">
        <f t="shared" si="4"/>
        <v>0</v>
      </c>
      <c r="D136" s="143"/>
      <c r="E136" s="143"/>
      <c r="F136" s="136">
        <f t="shared" si="5"/>
        <v>10679</v>
      </c>
      <c r="G136" s="100"/>
      <c r="H136" s="100">
        <v>6590</v>
      </c>
      <c r="I136" s="100">
        <v>3519</v>
      </c>
      <c r="J136" s="100"/>
      <c r="K136" s="100">
        <v>570</v>
      </c>
      <c r="L136" s="100"/>
      <c r="M136" s="157"/>
      <c r="N136" s="158"/>
      <c r="O136" s="160"/>
      <c r="P136" s="167"/>
    </row>
    <row r="137" spans="1:16" ht="30" customHeight="1" x14ac:dyDescent="0.35">
      <c r="A137" s="73" t="s">
        <v>558</v>
      </c>
      <c r="B137" s="192">
        <f t="shared" si="3"/>
        <v>3135</v>
      </c>
      <c r="C137" s="136">
        <f t="shared" si="4"/>
        <v>0</v>
      </c>
      <c r="D137" s="142"/>
      <c r="E137" s="142"/>
      <c r="F137" s="136">
        <f t="shared" si="5"/>
        <v>3135</v>
      </c>
      <c r="G137" s="100"/>
      <c r="H137" s="100">
        <v>2600</v>
      </c>
      <c r="I137" s="100">
        <v>420</v>
      </c>
      <c r="J137" s="100"/>
      <c r="K137" s="100">
        <v>115</v>
      </c>
      <c r="L137" s="100"/>
      <c r="M137" s="100"/>
      <c r="N137" s="101"/>
      <c r="O137" s="160"/>
      <c r="P137" s="167"/>
    </row>
    <row r="138" spans="1:16" ht="30" customHeight="1" x14ac:dyDescent="0.35">
      <c r="A138" s="73" t="s">
        <v>559</v>
      </c>
      <c r="B138" s="192">
        <f t="shared" si="3"/>
        <v>6836</v>
      </c>
      <c r="C138" s="136">
        <f t="shared" si="4"/>
        <v>0</v>
      </c>
      <c r="D138" s="136"/>
      <c r="E138" s="136"/>
      <c r="F138" s="136">
        <f t="shared" si="5"/>
        <v>6836</v>
      </c>
      <c r="G138" s="100"/>
      <c r="H138" s="100">
        <v>4753</v>
      </c>
      <c r="I138" s="100">
        <v>1860</v>
      </c>
      <c r="J138" s="100"/>
      <c r="K138" s="100">
        <v>223</v>
      </c>
      <c r="L138" s="100"/>
      <c r="M138" s="100"/>
      <c r="N138" s="100"/>
      <c r="O138" s="160"/>
      <c r="P138" s="167"/>
    </row>
    <row r="139" spans="1:16" ht="30" customHeight="1" x14ac:dyDescent="0.35">
      <c r="A139" s="73" t="s">
        <v>560</v>
      </c>
      <c r="B139" s="192">
        <f t="shared" si="3"/>
        <v>3665</v>
      </c>
      <c r="C139" s="136">
        <f t="shared" si="4"/>
        <v>0</v>
      </c>
      <c r="D139" s="136"/>
      <c r="E139" s="136"/>
      <c r="F139" s="136">
        <f t="shared" si="5"/>
        <v>3665</v>
      </c>
      <c r="G139" s="100"/>
      <c r="H139" s="100">
        <v>2976</v>
      </c>
      <c r="I139" s="100">
        <v>339</v>
      </c>
      <c r="J139" s="100"/>
      <c r="K139" s="100">
        <v>350</v>
      </c>
      <c r="L139" s="100"/>
      <c r="M139" s="100"/>
      <c r="N139" s="100"/>
      <c r="O139" s="160"/>
      <c r="P139" s="167"/>
    </row>
    <row r="140" spans="1:16" ht="26.25" customHeight="1" x14ac:dyDescent="0.35">
      <c r="A140" s="182" t="s">
        <v>78</v>
      </c>
      <c r="B140" s="192">
        <f t="shared" si="3"/>
        <v>11100</v>
      </c>
      <c r="C140" s="136">
        <f t="shared" si="4"/>
        <v>0</v>
      </c>
      <c r="D140" s="142"/>
      <c r="E140" s="142"/>
      <c r="F140" s="136">
        <f t="shared" si="5"/>
        <v>11100</v>
      </c>
      <c r="G140" s="100"/>
      <c r="H140" s="100">
        <v>6350</v>
      </c>
      <c r="I140" s="100">
        <v>4150</v>
      </c>
      <c r="J140" s="100"/>
      <c r="K140" s="100">
        <v>600</v>
      </c>
      <c r="L140" s="100"/>
      <c r="M140" s="157"/>
      <c r="N140" s="158"/>
      <c r="O140" s="160"/>
      <c r="P140" s="167"/>
    </row>
    <row r="141" spans="1:16" ht="30" customHeight="1" x14ac:dyDescent="0.35">
      <c r="A141" s="73" t="s">
        <v>561</v>
      </c>
      <c r="B141" s="192">
        <f t="shared" ref="B141:B204" si="6">SUM(C141+F141,L141,M141,N141,O141,P141)</f>
        <v>2973</v>
      </c>
      <c r="C141" s="136">
        <f t="shared" ref="C141:C204" si="7">D141+E141</f>
        <v>0</v>
      </c>
      <c r="D141" s="136"/>
      <c r="E141" s="136"/>
      <c r="F141" s="136">
        <f t="shared" ref="F141:F204" si="8">SUM(G141,H141,I141,J141,K141)</f>
        <v>2973</v>
      </c>
      <c r="G141" s="100"/>
      <c r="H141" s="100">
        <v>2286</v>
      </c>
      <c r="I141" s="100">
        <v>400</v>
      </c>
      <c r="J141" s="100"/>
      <c r="K141" s="100">
        <v>287</v>
      </c>
      <c r="L141" s="100"/>
      <c r="M141" s="100"/>
      <c r="N141" s="100"/>
      <c r="O141" s="160"/>
      <c r="P141" s="167"/>
    </row>
    <row r="142" spans="1:16" ht="21" customHeight="1" x14ac:dyDescent="0.35">
      <c r="A142" s="73" t="s">
        <v>562</v>
      </c>
      <c r="B142" s="192">
        <f t="shared" si="6"/>
        <v>14523</v>
      </c>
      <c r="C142" s="136">
        <f t="shared" si="7"/>
        <v>0</v>
      </c>
      <c r="D142" s="136"/>
      <c r="E142" s="136"/>
      <c r="F142" s="136">
        <f t="shared" si="8"/>
        <v>14523</v>
      </c>
      <c r="G142" s="100"/>
      <c r="H142" s="100">
        <v>12839</v>
      </c>
      <c r="I142" s="100">
        <v>984</v>
      </c>
      <c r="J142" s="100"/>
      <c r="K142" s="100">
        <v>700</v>
      </c>
      <c r="L142" s="100"/>
      <c r="M142" s="100"/>
      <c r="N142" s="100"/>
      <c r="O142" s="160"/>
      <c r="P142" s="167"/>
    </row>
    <row r="143" spans="1:16" ht="30" customHeight="1" x14ac:dyDescent="0.35">
      <c r="A143" s="73" t="s">
        <v>563</v>
      </c>
      <c r="B143" s="192">
        <f t="shared" si="6"/>
        <v>3241</v>
      </c>
      <c r="C143" s="136">
        <f t="shared" si="7"/>
        <v>0</v>
      </c>
      <c r="D143" s="136"/>
      <c r="E143" s="136"/>
      <c r="F143" s="136">
        <f t="shared" si="8"/>
        <v>3241</v>
      </c>
      <c r="G143" s="100"/>
      <c r="H143" s="100">
        <v>1676</v>
      </c>
      <c r="I143" s="100">
        <v>1360</v>
      </c>
      <c r="J143" s="100"/>
      <c r="K143" s="100">
        <v>205</v>
      </c>
      <c r="L143" s="100"/>
      <c r="M143" s="100"/>
      <c r="N143" s="100"/>
      <c r="O143" s="160"/>
      <c r="P143" s="167"/>
    </row>
    <row r="144" spans="1:16" ht="30" customHeight="1" x14ac:dyDescent="0.35">
      <c r="A144" s="73" t="s">
        <v>564</v>
      </c>
      <c r="B144" s="192">
        <f t="shared" si="6"/>
        <v>5170</v>
      </c>
      <c r="C144" s="136">
        <f t="shared" si="7"/>
        <v>0</v>
      </c>
      <c r="D144" s="136"/>
      <c r="E144" s="136"/>
      <c r="F144" s="136">
        <f t="shared" si="8"/>
        <v>5170</v>
      </c>
      <c r="G144" s="100"/>
      <c r="H144" s="100">
        <v>4490</v>
      </c>
      <c r="I144" s="100">
        <v>650</v>
      </c>
      <c r="J144" s="100"/>
      <c r="K144" s="100">
        <v>30</v>
      </c>
      <c r="L144" s="100"/>
      <c r="M144" s="100"/>
      <c r="N144" s="100"/>
      <c r="O144" s="160"/>
      <c r="P144" s="167"/>
    </row>
    <row r="145" spans="1:16" ht="30" customHeight="1" x14ac:dyDescent="0.35">
      <c r="A145" s="73" t="s">
        <v>565</v>
      </c>
      <c r="B145" s="192">
        <f t="shared" si="6"/>
        <v>3642</v>
      </c>
      <c r="C145" s="136">
        <f t="shared" si="7"/>
        <v>0</v>
      </c>
      <c r="D145" s="136"/>
      <c r="E145" s="136"/>
      <c r="F145" s="136">
        <f t="shared" si="8"/>
        <v>3642</v>
      </c>
      <c r="G145" s="100"/>
      <c r="H145" s="100">
        <v>3250</v>
      </c>
      <c r="I145" s="100">
        <v>292</v>
      </c>
      <c r="J145" s="100"/>
      <c r="K145" s="100">
        <v>100</v>
      </c>
      <c r="L145" s="100"/>
      <c r="M145" s="100"/>
      <c r="N145" s="100"/>
      <c r="O145" s="160"/>
      <c r="P145" s="167"/>
    </row>
    <row r="146" spans="1:16" ht="30" customHeight="1" x14ac:dyDescent="0.35">
      <c r="A146" s="73" t="s">
        <v>566</v>
      </c>
      <c r="B146" s="192">
        <f t="shared" si="6"/>
        <v>19568</v>
      </c>
      <c r="C146" s="136">
        <f t="shared" si="7"/>
        <v>11628</v>
      </c>
      <c r="D146" s="136">
        <v>9408</v>
      </c>
      <c r="E146" s="136">
        <v>2220</v>
      </c>
      <c r="F146" s="136">
        <f t="shared" si="8"/>
        <v>7940</v>
      </c>
      <c r="G146" s="100"/>
      <c r="H146" s="100">
        <v>3780</v>
      </c>
      <c r="I146" s="100">
        <v>2540</v>
      </c>
      <c r="J146" s="100"/>
      <c r="K146" s="100">
        <v>1620</v>
      </c>
      <c r="L146" s="100"/>
      <c r="M146" s="100"/>
      <c r="N146" s="100"/>
      <c r="O146" s="160"/>
      <c r="P146" s="167"/>
    </row>
    <row r="147" spans="1:16" ht="30" customHeight="1" x14ac:dyDescent="0.35">
      <c r="A147" s="73" t="s">
        <v>567</v>
      </c>
      <c r="B147" s="192">
        <f t="shared" si="6"/>
        <v>5950</v>
      </c>
      <c r="C147" s="136">
        <f t="shared" si="7"/>
        <v>0</v>
      </c>
      <c r="D147" s="136"/>
      <c r="E147" s="136"/>
      <c r="F147" s="136">
        <f t="shared" si="8"/>
        <v>5950</v>
      </c>
      <c r="G147" s="100"/>
      <c r="H147" s="100">
        <v>4410</v>
      </c>
      <c r="I147" s="100">
        <v>1240</v>
      </c>
      <c r="J147" s="100"/>
      <c r="K147" s="100">
        <v>300</v>
      </c>
      <c r="L147" s="100"/>
      <c r="M147" s="100"/>
      <c r="N147" s="100"/>
      <c r="O147" s="160"/>
      <c r="P147" s="167"/>
    </row>
    <row r="148" spans="1:16" ht="30" customHeight="1" x14ac:dyDescent="0.35">
      <c r="A148" s="73" t="s">
        <v>568</v>
      </c>
      <c r="B148" s="192">
        <f t="shared" si="6"/>
        <v>13998</v>
      </c>
      <c r="C148" s="136">
        <f t="shared" si="7"/>
        <v>11568</v>
      </c>
      <c r="D148" s="136">
        <v>9360</v>
      </c>
      <c r="E148" s="136">
        <v>2208</v>
      </c>
      <c r="F148" s="136">
        <f t="shared" si="8"/>
        <v>2430</v>
      </c>
      <c r="G148" s="100"/>
      <c r="H148" s="100">
        <v>1059</v>
      </c>
      <c r="I148" s="100">
        <v>920</v>
      </c>
      <c r="J148" s="100"/>
      <c r="K148" s="100">
        <v>451</v>
      </c>
      <c r="L148" s="100"/>
      <c r="M148" s="100"/>
      <c r="N148" s="100"/>
      <c r="O148" s="160"/>
      <c r="P148" s="167"/>
    </row>
    <row r="149" spans="1:16" ht="15" customHeight="1" x14ac:dyDescent="0.35">
      <c r="A149" s="73" t="s">
        <v>174</v>
      </c>
      <c r="B149" s="192">
        <f t="shared" si="6"/>
        <v>15173</v>
      </c>
      <c r="C149" s="136">
        <f t="shared" si="7"/>
        <v>10372</v>
      </c>
      <c r="D149" s="136">
        <v>8328</v>
      </c>
      <c r="E149" s="136">
        <f>80+1964</f>
        <v>2044</v>
      </c>
      <c r="F149" s="136">
        <f t="shared" si="8"/>
        <v>4801</v>
      </c>
      <c r="G149" s="100"/>
      <c r="H149" s="100">
        <v>1450</v>
      </c>
      <c r="I149" s="100">
        <v>3351</v>
      </c>
      <c r="J149" s="100"/>
      <c r="K149" s="100"/>
      <c r="L149" s="100"/>
      <c r="M149" s="100"/>
      <c r="N149" s="100"/>
      <c r="O149" s="160"/>
      <c r="P149" s="167"/>
    </row>
    <row r="150" spans="1:16" ht="15" customHeight="1" x14ac:dyDescent="0.35">
      <c r="A150" s="73" t="s">
        <v>607</v>
      </c>
      <c r="B150" s="192">
        <f t="shared" si="6"/>
        <v>15123</v>
      </c>
      <c r="C150" s="136">
        <f t="shared" si="7"/>
        <v>10322</v>
      </c>
      <c r="D150" s="136">
        <v>8328</v>
      </c>
      <c r="E150" s="136">
        <f>30+1964</f>
        <v>1994</v>
      </c>
      <c r="F150" s="136">
        <f t="shared" si="8"/>
        <v>4801</v>
      </c>
      <c r="G150" s="100"/>
      <c r="H150" s="100">
        <v>1230</v>
      </c>
      <c r="I150" s="100">
        <v>3571</v>
      </c>
      <c r="J150" s="100"/>
      <c r="K150" s="100"/>
      <c r="L150" s="100"/>
      <c r="M150" s="100"/>
      <c r="N150" s="100"/>
      <c r="O150" s="160"/>
      <c r="P150" s="167"/>
    </row>
    <row r="151" spans="1:16" ht="15" customHeight="1" x14ac:dyDescent="0.35">
      <c r="A151" s="73" t="s">
        <v>176</v>
      </c>
      <c r="B151" s="192">
        <f t="shared" si="6"/>
        <v>15123</v>
      </c>
      <c r="C151" s="136">
        <f t="shared" si="7"/>
        <v>11288</v>
      </c>
      <c r="D151" s="136">
        <v>9363</v>
      </c>
      <c r="E151" s="136">
        <f>30+1895</f>
        <v>1925</v>
      </c>
      <c r="F151" s="136">
        <f t="shared" si="8"/>
        <v>2835</v>
      </c>
      <c r="G151" s="100"/>
      <c r="H151" s="100">
        <v>1060</v>
      </c>
      <c r="I151" s="100">
        <v>1775</v>
      </c>
      <c r="J151" s="100"/>
      <c r="K151" s="100"/>
      <c r="L151" s="100"/>
      <c r="M151" s="100"/>
      <c r="N151" s="100">
        <v>1000</v>
      </c>
      <c r="O151" s="160"/>
      <c r="P151" s="167"/>
    </row>
    <row r="152" spans="1:16" ht="15" customHeight="1" x14ac:dyDescent="0.35">
      <c r="A152" s="73" t="s">
        <v>606</v>
      </c>
      <c r="B152" s="192">
        <f t="shared" si="6"/>
        <v>15123</v>
      </c>
      <c r="C152" s="136">
        <f t="shared" si="7"/>
        <v>11288</v>
      </c>
      <c r="D152" s="136">
        <v>9363</v>
      </c>
      <c r="E152" s="136">
        <f>1895+30</f>
        <v>1925</v>
      </c>
      <c r="F152" s="136">
        <f t="shared" si="8"/>
        <v>3835</v>
      </c>
      <c r="G152" s="100"/>
      <c r="H152" s="100">
        <v>952</v>
      </c>
      <c r="I152" s="100">
        <v>2883</v>
      </c>
      <c r="J152" s="100"/>
      <c r="K152" s="100"/>
      <c r="L152" s="100"/>
      <c r="M152" s="100"/>
      <c r="N152" s="100"/>
      <c r="O152" s="160"/>
      <c r="P152" s="167"/>
    </row>
    <row r="153" spans="1:16" ht="15" customHeight="1" x14ac:dyDescent="0.35">
      <c r="A153" s="182" t="s">
        <v>177</v>
      </c>
      <c r="B153" s="192">
        <f t="shared" si="6"/>
        <v>15123</v>
      </c>
      <c r="C153" s="136">
        <f t="shared" si="7"/>
        <v>10322</v>
      </c>
      <c r="D153" s="142">
        <v>8328</v>
      </c>
      <c r="E153" s="142">
        <f>30+1964</f>
        <v>1994</v>
      </c>
      <c r="F153" s="136">
        <f t="shared" si="8"/>
        <v>4801</v>
      </c>
      <c r="G153" s="102"/>
      <c r="H153" s="102">
        <v>1770</v>
      </c>
      <c r="I153" s="102">
        <v>3031</v>
      </c>
      <c r="J153" s="102"/>
      <c r="K153" s="102"/>
      <c r="L153" s="158"/>
      <c r="M153" s="157"/>
      <c r="N153" s="102"/>
      <c r="O153" s="161"/>
      <c r="P153" s="167"/>
    </row>
    <row r="154" spans="1:16" ht="15" customHeight="1" x14ac:dyDescent="0.35">
      <c r="A154" s="73" t="s">
        <v>605</v>
      </c>
      <c r="B154" s="192">
        <f t="shared" si="6"/>
        <v>15123</v>
      </c>
      <c r="C154" s="136">
        <f t="shared" si="7"/>
        <v>10322</v>
      </c>
      <c r="D154" s="136">
        <v>8328</v>
      </c>
      <c r="E154" s="136">
        <f>30+1964</f>
        <v>1994</v>
      </c>
      <c r="F154" s="136">
        <f t="shared" si="8"/>
        <v>4801</v>
      </c>
      <c r="G154" s="100"/>
      <c r="H154" s="100">
        <v>857</v>
      </c>
      <c r="I154" s="100">
        <v>3944</v>
      </c>
      <c r="J154" s="100"/>
      <c r="K154" s="100"/>
      <c r="L154" s="100"/>
      <c r="M154" s="100"/>
      <c r="N154" s="100"/>
      <c r="O154" s="160"/>
      <c r="P154" s="167"/>
    </row>
    <row r="155" spans="1:16" ht="15" customHeight="1" x14ac:dyDescent="0.35">
      <c r="A155" s="73" t="s">
        <v>178</v>
      </c>
      <c r="B155" s="192">
        <f t="shared" si="6"/>
        <v>15123</v>
      </c>
      <c r="C155" s="136">
        <f t="shared" si="7"/>
        <v>10322</v>
      </c>
      <c r="D155" s="136">
        <v>8328</v>
      </c>
      <c r="E155" s="136">
        <f>30+1964</f>
        <v>1994</v>
      </c>
      <c r="F155" s="136">
        <f t="shared" si="8"/>
        <v>3851</v>
      </c>
      <c r="G155" s="100"/>
      <c r="H155" s="100">
        <v>1300</v>
      </c>
      <c r="I155" s="100">
        <v>2551</v>
      </c>
      <c r="J155" s="100"/>
      <c r="K155" s="100"/>
      <c r="L155" s="100"/>
      <c r="M155" s="100"/>
      <c r="N155" s="100">
        <v>950</v>
      </c>
      <c r="O155" s="160"/>
      <c r="P155" s="167"/>
    </row>
    <row r="156" spans="1:16" ht="15" customHeight="1" x14ac:dyDescent="0.35">
      <c r="A156" s="73" t="s">
        <v>179</v>
      </c>
      <c r="B156" s="192">
        <f t="shared" si="6"/>
        <v>15123</v>
      </c>
      <c r="C156" s="136">
        <f t="shared" si="7"/>
        <v>11288</v>
      </c>
      <c r="D156" s="136">
        <v>9363</v>
      </c>
      <c r="E156" s="136">
        <f>30+1895</f>
        <v>1925</v>
      </c>
      <c r="F156" s="136">
        <f t="shared" si="8"/>
        <v>3835</v>
      </c>
      <c r="G156" s="100"/>
      <c r="H156" s="100">
        <v>1406</v>
      </c>
      <c r="I156" s="100">
        <v>2429</v>
      </c>
      <c r="J156" s="100"/>
      <c r="K156" s="160"/>
      <c r="L156" s="100"/>
      <c r="M156" s="101"/>
      <c r="N156" s="171"/>
      <c r="O156" s="160"/>
      <c r="P156" s="167"/>
    </row>
    <row r="157" spans="1:16" ht="30" customHeight="1" x14ac:dyDescent="0.35">
      <c r="A157" s="182" t="s">
        <v>105</v>
      </c>
      <c r="B157" s="192">
        <f t="shared" si="6"/>
        <v>30533</v>
      </c>
      <c r="C157" s="136">
        <f t="shared" si="7"/>
        <v>15365</v>
      </c>
      <c r="D157" s="142">
        <v>12432</v>
      </c>
      <c r="E157" s="142">
        <v>2933</v>
      </c>
      <c r="F157" s="136">
        <f t="shared" si="8"/>
        <v>15168</v>
      </c>
      <c r="G157" s="102"/>
      <c r="H157" s="102">
        <v>6200</v>
      </c>
      <c r="I157" s="102">
        <v>8968</v>
      </c>
      <c r="J157" s="102"/>
      <c r="K157" s="161"/>
      <c r="L157" s="101"/>
      <c r="M157" s="100"/>
      <c r="N157" s="190"/>
      <c r="O157" s="161"/>
      <c r="P157" s="167"/>
    </row>
    <row r="158" spans="1:16" ht="26.4" customHeight="1" x14ac:dyDescent="0.35">
      <c r="A158" s="132" t="s">
        <v>95</v>
      </c>
      <c r="B158" s="192">
        <f t="shared" si="6"/>
        <v>86306</v>
      </c>
      <c r="C158" s="136">
        <f t="shared" si="7"/>
        <v>78643</v>
      </c>
      <c r="D158" s="136">
        <v>63176</v>
      </c>
      <c r="E158" s="136">
        <v>15467</v>
      </c>
      <c r="F158" s="136">
        <f t="shared" si="8"/>
        <v>7663</v>
      </c>
      <c r="G158" s="100"/>
      <c r="H158" s="100">
        <v>860</v>
      </c>
      <c r="I158" s="100">
        <v>6803</v>
      </c>
      <c r="J158" s="100"/>
      <c r="K158" s="100"/>
      <c r="L158" s="100"/>
      <c r="M158" s="100"/>
      <c r="N158" s="100"/>
      <c r="O158" s="160"/>
      <c r="P158" s="167"/>
    </row>
    <row r="159" spans="1:16" s="66" customFormat="1" ht="30" customHeight="1" x14ac:dyDescent="0.35">
      <c r="A159" s="132" t="s">
        <v>123</v>
      </c>
      <c r="B159" s="192">
        <f t="shared" si="6"/>
        <v>32792</v>
      </c>
      <c r="C159" s="136">
        <f t="shared" si="7"/>
        <v>1200</v>
      </c>
      <c r="D159" s="136">
        <v>1200</v>
      </c>
      <c r="E159" s="136"/>
      <c r="F159" s="136">
        <f t="shared" si="8"/>
        <v>31592</v>
      </c>
      <c r="G159" s="100">
        <v>792</v>
      </c>
      <c r="H159" s="100">
        <v>15225</v>
      </c>
      <c r="I159" s="100">
        <v>15575</v>
      </c>
      <c r="J159" s="100"/>
      <c r="K159" s="100"/>
      <c r="L159" s="100"/>
      <c r="M159" s="100"/>
      <c r="N159" s="100"/>
      <c r="O159" s="160"/>
      <c r="P159" s="168"/>
    </row>
    <row r="160" spans="1:16" ht="27.75" customHeight="1" x14ac:dyDescent="0.35">
      <c r="A160" s="132" t="s">
        <v>142</v>
      </c>
      <c r="B160" s="192">
        <f t="shared" si="6"/>
        <v>36791</v>
      </c>
      <c r="C160" s="136">
        <f t="shared" si="7"/>
        <v>17856</v>
      </c>
      <c r="D160" s="136">
        <v>14448</v>
      </c>
      <c r="E160" s="136">
        <v>3408</v>
      </c>
      <c r="F160" s="136">
        <f t="shared" si="8"/>
        <v>8935</v>
      </c>
      <c r="G160" s="100"/>
      <c r="H160" s="100">
        <v>2680</v>
      </c>
      <c r="I160" s="100">
        <v>6255</v>
      </c>
      <c r="J160" s="100"/>
      <c r="K160" s="100"/>
      <c r="L160" s="100"/>
      <c r="M160" s="100"/>
      <c r="N160" s="100">
        <v>10000</v>
      </c>
      <c r="O160" s="160"/>
      <c r="P160" s="167"/>
    </row>
    <row r="161" spans="1:16" ht="27.75" customHeight="1" x14ac:dyDescent="0.35">
      <c r="A161" s="132" t="s">
        <v>597</v>
      </c>
      <c r="B161" s="192">
        <f t="shared" si="6"/>
        <v>127485</v>
      </c>
      <c r="C161" s="136">
        <f t="shared" si="7"/>
        <v>0</v>
      </c>
      <c r="D161" s="136"/>
      <c r="E161" s="136"/>
      <c r="F161" s="136">
        <f t="shared" si="8"/>
        <v>121285</v>
      </c>
      <c r="G161" s="100"/>
      <c r="H161" s="100">
        <v>121285</v>
      </c>
      <c r="I161" s="100"/>
      <c r="J161" s="100"/>
      <c r="K161" s="100"/>
      <c r="L161" s="100"/>
      <c r="M161" s="100"/>
      <c r="N161" s="100">
        <v>6200</v>
      </c>
      <c r="O161" s="160"/>
      <c r="P161" s="167"/>
    </row>
    <row r="162" spans="1:16" ht="27.75" customHeight="1" x14ac:dyDescent="0.35">
      <c r="A162" s="132" t="s">
        <v>20</v>
      </c>
      <c r="B162" s="192">
        <f t="shared" si="6"/>
        <v>554158</v>
      </c>
      <c r="C162" s="136">
        <f t="shared" si="7"/>
        <v>484021</v>
      </c>
      <c r="D162" s="136">
        <v>392130</v>
      </c>
      <c r="E162" s="136">
        <v>91891</v>
      </c>
      <c r="F162" s="136">
        <f t="shared" si="8"/>
        <v>45737</v>
      </c>
      <c r="G162" s="100">
        <v>180</v>
      </c>
      <c r="H162" s="100">
        <v>25906</v>
      </c>
      <c r="I162" s="100">
        <v>6251</v>
      </c>
      <c r="J162" s="100">
        <v>13400</v>
      </c>
      <c r="K162" s="100"/>
      <c r="L162" s="100"/>
      <c r="M162" s="100"/>
      <c r="N162" s="100">
        <v>24400</v>
      </c>
      <c r="O162" s="160"/>
      <c r="P162" s="167"/>
    </row>
    <row r="163" spans="1:16" ht="27.75" customHeight="1" x14ac:dyDescent="0.35">
      <c r="A163" s="73" t="s">
        <v>531</v>
      </c>
      <c r="B163" s="192">
        <f t="shared" si="6"/>
        <v>44349</v>
      </c>
      <c r="C163" s="136">
        <f t="shared" si="7"/>
        <v>0</v>
      </c>
      <c r="D163" s="136"/>
      <c r="E163" s="136"/>
      <c r="F163" s="136">
        <f t="shared" si="8"/>
        <v>44349</v>
      </c>
      <c r="G163" s="100"/>
      <c r="H163" s="100">
        <v>42545</v>
      </c>
      <c r="I163" s="100">
        <v>1804</v>
      </c>
      <c r="J163" s="100"/>
      <c r="K163" s="100"/>
      <c r="L163" s="104"/>
      <c r="M163" s="104"/>
      <c r="N163" s="100"/>
      <c r="O163" s="160"/>
      <c r="P163" s="167"/>
    </row>
    <row r="164" spans="1:16" ht="18" customHeight="1" x14ac:dyDescent="0.35">
      <c r="A164" s="181" t="s">
        <v>60</v>
      </c>
      <c r="B164" s="192">
        <f t="shared" si="6"/>
        <v>148493</v>
      </c>
      <c r="C164" s="136">
        <f t="shared" si="7"/>
        <v>119488</v>
      </c>
      <c r="D164" s="136">
        <v>96392</v>
      </c>
      <c r="E164" s="136">
        <v>23096</v>
      </c>
      <c r="F164" s="136">
        <f t="shared" si="8"/>
        <v>29005</v>
      </c>
      <c r="G164" s="100">
        <v>279</v>
      </c>
      <c r="H164" s="100">
        <v>26539</v>
      </c>
      <c r="I164" s="100">
        <v>2187</v>
      </c>
      <c r="J164" s="100"/>
      <c r="K164" s="100"/>
      <c r="L164" s="104"/>
      <c r="M164" s="104"/>
      <c r="N164" s="100"/>
      <c r="O164" s="160"/>
      <c r="P164" s="167"/>
    </row>
    <row r="165" spans="1:16" ht="24" customHeight="1" x14ac:dyDescent="0.35">
      <c r="A165" s="181" t="s">
        <v>80</v>
      </c>
      <c r="B165" s="192">
        <f t="shared" si="6"/>
        <v>63974</v>
      </c>
      <c r="C165" s="136">
        <f t="shared" si="7"/>
        <v>53634</v>
      </c>
      <c r="D165" s="136">
        <v>41648</v>
      </c>
      <c r="E165" s="136">
        <v>11986</v>
      </c>
      <c r="F165" s="136">
        <f t="shared" si="8"/>
        <v>10140</v>
      </c>
      <c r="G165" s="100">
        <v>104</v>
      </c>
      <c r="H165" s="100">
        <v>3394</v>
      </c>
      <c r="I165" s="100">
        <v>6642</v>
      </c>
      <c r="J165" s="100"/>
      <c r="K165" s="100"/>
      <c r="L165" s="100"/>
      <c r="M165" s="101"/>
      <c r="N165" s="100">
        <v>200</v>
      </c>
      <c r="O165" s="160"/>
      <c r="P165" s="167"/>
    </row>
    <row r="166" spans="1:16" ht="20.25" customHeight="1" x14ac:dyDescent="0.35">
      <c r="A166" s="184" t="s">
        <v>73</v>
      </c>
      <c r="B166" s="192">
        <f t="shared" si="6"/>
        <v>46290</v>
      </c>
      <c r="C166" s="136">
        <f t="shared" si="7"/>
        <v>32430</v>
      </c>
      <c r="D166" s="145">
        <v>26061</v>
      </c>
      <c r="E166" s="145">
        <v>6369</v>
      </c>
      <c r="F166" s="136">
        <f t="shared" si="8"/>
        <v>13860</v>
      </c>
      <c r="G166" s="105">
        <v>38</v>
      </c>
      <c r="H166" s="105">
        <v>5205</v>
      </c>
      <c r="I166" s="105">
        <v>8617</v>
      </c>
      <c r="J166" s="105"/>
      <c r="K166" s="105"/>
      <c r="L166" s="105"/>
      <c r="M166" s="105"/>
      <c r="N166" s="105"/>
      <c r="O166" s="162"/>
      <c r="P166" s="167"/>
    </row>
    <row r="167" spans="1:16" ht="26.25" customHeight="1" x14ac:dyDescent="0.35">
      <c r="A167" s="73" t="s">
        <v>58</v>
      </c>
      <c r="B167" s="192">
        <f t="shared" si="6"/>
        <v>652222</v>
      </c>
      <c r="C167" s="136">
        <f t="shared" si="7"/>
        <v>597163</v>
      </c>
      <c r="D167" s="136">
        <f>32857+449723</f>
        <v>482580</v>
      </c>
      <c r="E167" s="136">
        <f>7751+106832</f>
        <v>114583</v>
      </c>
      <c r="F167" s="136">
        <f t="shared" si="8"/>
        <v>55059</v>
      </c>
      <c r="G167" s="100">
        <v>306</v>
      </c>
      <c r="H167" s="100">
        <v>36269</v>
      </c>
      <c r="I167" s="100">
        <v>18484</v>
      </c>
      <c r="J167" s="100"/>
      <c r="K167" s="100"/>
      <c r="L167" s="100"/>
      <c r="M167" s="100"/>
      <c r="N167" s="100"/>
      <c r="O167" s="160"/>
      <c r="P167" s="167"/>
    </row>
    <row r="168" spans="1:16" ht="17.25" customHeight="1" x14ac:dyDescent="0.35">
      <c r="A168" s="73" t="s">
        <v>21</v>
      </c>
      <c r="B168" s="192">
        <f t="shared" si="6"/>
        <v>60464</v>
      </c>
      <c r="C168" s="136">
        <f t="shared" si="7"/>
        <v>3100</v>
      </c>
      <c r="D168" s="136">
        <v>3100</v>
      </c>
      <c r="E168" s="136"/>
      <c r="F168" s="136">
        <f t="shared" si="8"/>
        <v>57364</v>
      </c>
      <c r="G168" s="100"/>
      <c r="H168" s="100">
        <v>51649</v>
      </c>
      <c r="I168" s="100">
        <v>5715</v>
      </c>
      <c r="J168" s="100"/>
      <c r="K168" s="100"/>
      <c r="L168" s="100"/>
      <c r="M168" s="100"/>
      <c r="N168" s="100"/>
      <c r="O168" s="160"/>
      <c r="P168" s="167"/>
    </row>
    <row r="169" spans="1:16" ht="15" customHeight="1" x14ac:dyDescent="0.35">
      <c r="A169" s="73" t="s">
        <v>81</v>
      </c>
      <c r="B169" s="192">
        <f t="shared" si="6"/>
        <v>10952</v>
      </c>
      <c r="C169" s="136">
        <f t="shared" si="7"/>
        <v>2000</v>
      </c>
      <c r="D169" s="136">
        <v>2000</v>
      </c>
      <c r="E169" s="136"/>
      <c r="F169" s="136">
        <f t="shared" si="8"/>
        <v>8952</v>
      </c>
      <c r="G169" s="100"/>
      <c r="H169" s="100">
        <v>6142</v>
      </c>
      <c r="I169" s="100">
        <v>2810</v>
      </c>
      <c r="J169" s="100"/>
      <c r="K169" s="100"/>
      <c r="L169" s="100"/>
      <c r="M169" s="100"/>
      <c r="N169" s="100"/>
      <c r="O169" s="160"/>
      <c r="P169" s="167"/>
    </row>
    <row r="170" spans="1:16" ht="15" customHeight="1" x14ac:dyDescent="0.35">
      <c r="A170" s="73" t="s">
        <v>117</v>
      </c>
      <c r="B170" s="192">
        <f t="shared" si="6"/>
        <v>14384</v>
      </c>
      <c r="C170" s="136">
        <f t="shared" si="7"/>
        <v>388</v>
      </c>
      <c r="D170" s="136">
        <v>350</v>
      </c>
      <c r="E170" s="136">
        <v>38</v>
      </c>
      <c r="F170" s="136">
        <f t="shared" si="8"/>
        <v>13996</v>
      </c>
      <c r="G170" s="100">
        <v>24</v>
      </c>
      <c r="H170" s="100">
        <v>10710</v>
      </c>
      <c r="I170" s="100">
        <v>3262</v>
      </c>
      <c r="J170" s="100"/>
      <c r="K170" s="100"/>
      <c r="L170" s="100"/>
      <c r="M170" s="100"/>
      <c r="N170" s="100"/>
      <c r="O170" s="160"/>
      <c r="P170" s="167"/>
    </row>
    <row r="171" spans="1:16" ht="15" customHeight="1" x14ac:dyDescent="0.35">
      <c r="A171" s="73" t="s">
        <v>22</v>
      </c>
      <c r="B171" s="192">
        <f t="shared" si="6"/>
        <v>9977</v>
      </c>
      <c r="C171" s="136">
        <f t="shared" si="7"/>
        <v>657</v>
      </c>
      <c r="D171" s="136">
        <v>500</v>
      </c>
      <c r="E171" s="136">
        <v>157</v>
      </c>
      <c r="F171" s="136">
        <f t="shared" si="8"/>
        <v>9320</v>
      </c>
      <c r="G171" s="100"/>
      <c r="H171" s="100">
        <v>3812</v>
      </c>
      <c r="I171" s="100">
        <v>5508</v>
      </c>
      <c r="J171" s="100"/>
      <c r="K171" s="100"/>
      <c r="L171" s="100"/>
      <c r="M171" s="100"/>
      <c r="N171" s="100"/>
      <c r="O171" s="160"/>
      <c r="P171" s="167"/>
    </row>
    <row r="172" spans="1:16" ht="15" customHeight="1" x14ac:dyDescent="0.35">
      <c r="A172" s="73" t="s">
        <v>23</v>
      </c>
      <c r="B172" s="192">
        <f t="shared" si="6"/>
        <v>4992</v>
      </c>
      <c r="C172" s="136">
        <f t="shared" si="7"/>
        <v>320</v>
      </c>
      <c r="D172" s="136">
        <v>150</v>
      </c>
      <c r="E172" s="136">
        <v>170</v>
      </c>
      <c r="F172" s="136">
        <f t="shared" si="8"/>
        <v>4672</v>
      </c>
      <c r="G172" s="100">
        <v>16</v>
      </c>
      <c r="H172" s="100">
        <v>2506</v>
      </c>
      <c r="I172" s="100">
        <v>2150</v>
      </c>
      <c r="J172" s="100"/>
      <c r="K172" s="100"/>
      <c r="L172" s="100"/>
      <c r="M172" s="100"/>
      <c r="N172" s="100"/>
      <c r="O172" s="160"/>
      <c r="P172" s="167"/>
    </row>
    <row r="173" spans="1:16" ht="15" customHeight="1" x14ac:dyDescent="0.35">
      <c r="A173" s="73" t="s">
        <v>24</v>
      </c>
      <c r="B173" s="192">
        <f t="shared" si="6"/>
        <v>23840</v>
      </c>
      <c r="C173" s="136">
        <f t="shared" si="7"/>
        <v>0</v>
      </c>
      <c r="D173" s="136"/>
      <c r="E173" s="136"/>
      <c r="F173" s="136">
        <f t="shared" si="8"/>
        <v>23840</v>
      </c>
      <c r="G173" s="100"/>
      <c r="H173" s="100">
        <v>15040</v>
      </c>
      <c r="I173" s="100">
        <v>8800</v>
      </c>
      <c r="J173" s="100"/>
      <c r="K173" s="160"/>
      <c r="L173" s="100"/>
      <c r="M173" s="101"/>
      <c r="N173" s="171"/>
      <c r="O173" s="160"/>
      <c r="P173" s="167"/>
    </row>
    <row r="174" spans="1:16" ht="15" customHeight="1" x14ac:dyDescent="0.35">
      <c r="A174" s="182" t="s">
        <v>72</v>
      </c>
      <c r="B174" s="192">
        <f t="shared" si="6"/>
        <v>16267</v>
      </c>
      <c r="C174" s="136">
        <f t="shared" si="7"/>
        <v>245</v>
      </c>
      <c r="D174" s="142">
        <v>200</v>
      </c>
      <c r="E174" s="142">
        <v>45</v>
      </c>
      <c r="F174" s="136">
        <f t="shared" si="8"/>
        <v>16022</v>
      </c>
      <c r="G174" s="102">
        <v>24</v>
      </c>
      <c r="H174" s="102">
        <v>12488</v>
      </c>
      <c r="I174" s="102">
        <v>3510</v>
      </c>
      <c r="J174" s="102"/>
      <c r="K174" s="161"/>
      <c r="L174" s="101"/>
      <c r="M174" s="100"/>
      <c r="N174" s="190"/>
      <c r="O174" s="161"/>
      <c r="P174" s="167"/>
    </row>
    <row r="175" spans="1:16" ht="15" customHeight="1" x14ac:dyDescent="0.35">
      <c r="A175" s="73" t="s">
        <v>116</v>
      </c>
      <c r="B175" s="192">
        <f t="shared" si="6"/>
        <v>2110</v>
      </c>
      <c r="C175" s="136">
        <f t="shared" si="7"/>
        <v>100</v>
      </c>
      <c r="D175" s="136">
        <v>100</v>
      </c>
      <c r="E175" s="136"/>
      <c r="F175" s="136">
        <f t="shared" si="8"/>
        <v>2010</v>
      </c>
      <c r="G175" s="100"/>
      <c r="H175" s="100">
        <v>1060</v>
      </c>
      <c r="I175" s="100">
        <v>950</v>
      </c>
      <c r="J175" s="100"/>
      <c r="K175" s="100"/>
      <c r="L175" s="100"/>
      <c r="M175" s="100"/>
      <c r="N175" s="100"/>
      <c r="O175" s="160"/>
      <c r="P175" s="167"/>
    </row>
    <row r="176" spans="1:16" ht="15" customHeight="1" x14ac:dyDescent="0.35">
      <c r="A176" s="73" t="s">
        <v>84</v>
      </c>
      <c r="B176" s="192">
        <f t="shared" si="6"/>
        <v>11751</v>
      </c>
      <c r="C176" s="136">
        <f t="shared" si="7"/>
        <v>232</v>
      </c>
      <c r="D176" s="136">
        <v>200</v>
      </c>
      <c r="E176" s="136">
        <v>32</v>
      </c>
      <c r="F176" s="136">
        <f t="shared" si="8"/>
        <v>11519</v>
      </c>
      <c r="G176" s="100"/>
      <c r="H176" s="100">
        <v>4877</v>
      </c>
      <c r="I176" s="100">
        <v>6642</v>
      </c>
      <c r="J176" s="100"/>
      <c r="K176" s="100"/>
      <c r="L176" s="100"/>
      <c r="M176" s="100"/>
      <c r="N176" s="100"/>
      <c r="O176" s="160"/>
      <c r="P176" s="167"/>
    </row>
    <row r="177" spans="1:16" ht="15" customHeight="1" x14ac:dyDescent="0.35">
      <c r="A177" s="185" t="s">
        <v>122</v>
      </c>
      <c r="B177" s="192">
        <f t="shared" si="6"/>
        <v>6392</v>
      </c>
      <c r="C177" s="136">
        <f t="shared" si="7"/>
        <v>222</v>
      </c>
      <c r="D177" s="146">
        <v>122</v>
      </c>
      <c r="E177" s="146">
        <v>100</v>
      </c>
      <c r="F177" s="136">
        <f t="shared" si="8"/>
        <v>6170</v>
      </c>
      <c r="G177" s="104">
        <v>20</v>
      </c>
      <c r="H177" s="104">
        <v>3185</v>
      </c>
      <c r="I177" s="104">
        <v>2965</v>
      </c>
      <c r="J177" s="104"/>
      <c r="K177" s="104"/>
      <c r="L177" s="104"/>
      <c r="M177" s="104"/>
      <c r="N177" s="104"/>
      <c r="O177" s="163"/>
      <c r="P177" s="167"/>
    </row>
    <row r="178" spans="1:16" ht="15" customHeight="1" x14ac:dyDescent="0.35">
      <c r="A178" s="73" t="s">
        <v>114</v>
      </c>
      <c r="B178" s="192">
        <f t="shared" si="6"/>
        <v>2782</v>
      </c>
      <c r="C178" s="136">
        <f t="shared" si="7"/>
        <v>0</v>
      </c>
      <c r="D178" s="136"/>
      <c r="E178" s="136"/>
      <c r="F178" s="136">
        <f t="shared" si="8"/>
        <v>2782</v>
      </c>
      <c r="G178" s="100"/>
      <c r="H178" s="100">
        <v>1382</v>
      </c>
      <c r="I178" s="100">
        <v>1400</v>
      </c>
      <c r="J178" s="100"/>
      <c r="K178" s="100"/>
      <c r="L178" s="100"/>
      <c r="M178" s="101"/>
      <c r="N178" s="100"/>
      <c r="O178" s="160"/>
      <c r="P178" s="167"/>
    </row>
    <row r="179" spans="1:16" ht="18.75" customHeight="1" x14ac:dyDescent="0.35">
      <c r="A179" s="186" t="s">
        <v>108</v>
      </c>
      <c r="B179" s="192">
        <f t="shared" si="6"/>
        <v>14580</v>
      </c>
      <c r="C179" s="136">
        <f t="shared" si="7"/>
        <v>300</v>
      </c>
      <c r="D179" s="135">
        <v>100</v>
      </c>
      <c r="E179" s="135">
        <v>200</v>
      </c>
      <c r="F179" s="136">
        <f t="shared" si="8"/>
        <v>14280</v>
      </c>
      <c r="G179" s="101">
        <v>40</v>
      </c>
      <c r="H179" s="101">
        <v>7880</v>
      </c>
      <c r="I179" s="101">
        <v>6360</v>
      </c>
      <c r="J179" s="101"/>
      <c r="K179" s="101"/>
      <c r="L179" s="101"/>
      <c r="M179" s="100"/>
      <c r="N179" s="101"/>
      <c r="O179" s="164"/>
      <c r="P179" s="167"/>
    </row>
    <row r="180" spans="1:16" ht="15" customHeight="1" x14ac:dyDescent="0.35">
      <c r="A180" s="73" t="s">
        <v>131</v>
      </c>
      <c r="B180" s="192">
        <f t="shared" si="6"/>
        <v>8308</v>
      </c>
      <c r="C180" s="136">
        <f t="shared" si="7"/>
        <v>0</v>
      </c>
      <c r="D180" s="144"/>
      <c r="E180" s="144"/>
      <c r="F180" s="136">
        <f t="shared" si="8"/>
        <v>8308</v>
      </c>
      <c r="G180" s="100">
        <v>8</v>
      </c>
      <c r="H180" s="100">
        <v>6150</v>
      </c>
      <c r="I180" s="100">
        <v>2150</v>
      </c>
      <c r="J180" s="100"/>
      <c r="K180" s="100"/>
      <c r="L180" s="100"/>
      <c r="M180" s="100"/>
      <c r="N180" s="100"/>
      <c r="O180" s="160"/>
      <c r="P180" s="167"/>
    </row>
    <row r="181" spans="1:16" ht="15" customHeight="1" x14ac:dyDescent="0.35">
      <c r="A181" s="73" t="s">
        <v>124</v>
      </c>
      <c r="B181" s="192">
        <f t="shared" si="6"/>
        <v>5420</v>
      </c>
      <c r="C181" s="136">
        <f t="shared" si="7"/>
        <v>150</v>
      </c>
      <c r="D181" s="136"/>
      <c r="E181" s="136">
        <v>150</v>
      </c>
      <c r="F181" s="136">
        <f t="shared" si="8"/>
        <v>5270</v>
      </c>
      <c r="G181" s="100">
        <v>30</v>
      </c>
      <c r="H181" s="100">
        <v>3460</v>
      </c>
      <c r="I181" s="100">
        <v>1780</v>
      </c>
      <c r="J181" s="100"/>
      <c r="K181" s="100"/>
      <c r="L181" s="100"/>
      <c r="M181" s="100"/>
      <c r="N181" s="100"/>
      <c r="O181" s="160"/>
      <c r="P181" s="167"/>
    </row>
    <row r="182" spans="1:16" ht="15" customHeight="1" x14ac:dyDescent="0.35">
      <c r="A182" s="73" t="s">
        <v>25</v>
      </c>
      <c r="B182" s="192">
        <f t="shared" si="6"/>
        <v>14579</v>
      </c>
      <c r="C182" s="136">
        <f t="shared" si="7"/>
        <v>600</v>
      </c>
      <c r="D182" s="136">
        <v>500</v>
      </c>
      <c r="E182" s="136">
        <v>100</v>
      </c>
      <c r="F182" s="136">
        <f t="shared" si="8"/>
        <v>13979</v>
      </c>
      <c r="G182" s="100">
        <v>40</v>
      </c>
      <c r="H182" s="100">
        <v>7981</v>
      </c>
      <c r="I182" s="100">
        <v>5958</v>
      </c>
      <c r="J182" s="100"/>
      <c r="K182" s="100"/>
      <c r="L182" s="100"/>
      <c r="M182" s="100"/>
      <c r="N182" s="100"/>
      <c r="O182" s="160"/>
      <c r="P182" s="167"/>
    </row>
    <row r="183" spans="1:16" ht="15" customHeight="1" x14ac:dyDescent="0.35">
      <c r="A183" s="73" t="s">
        <v>83</v>
      </c>
      <c r="B183" s="192">
        <f t="shared" si="6"/>
        <v>371670</v>
      </c>
      <c r="C183" s="136">
        <f t="shared" si="7"/>
        <v>317321</v>
      </c>
      <c r="D183" s="136">
        <f>19851+233050+4000</f>
        <v>256901</v>
      </c>
      <c r="E183" s="136">
        <f>4683+55737</f>
        <v>60420</v>
      </c>
      <c r="F183" s="136">
        <f t="shared" si="8"/>
        <v>54349</v>
      </c>
      <c r="G183" s="100"/>
      <c r="H183" s="100">
        <v>35642</v>
      </c>
      <c r="I183" s="100">
        <v>18707</v>
      </c>
      <c r="J183" s="100"/>
      <c r="K183" s="100"/>
      <c r="L183" s="100"/>
      <c r="M183" s="100"/>
      <c r="N183" s="100"/>
      <c r="O183" s="160"/>
      <c r="P183" s="167"/>
    </row>
    <row r="184" spans="1:16" ht="15.75" customHeight="1" x14ac:dyDescent="0.35">
      <c r="A184" s="73" t="s">
        <v>82</v>
      </c>
      <c r="B184" s="192">
        <f t="shared" si="6"/>
        <v>21475</v>
      </c>
      <c r="C184" s="136">
        <f t="shared" si="7"/>
        <v>319</v>
      </c>
      <c r="D184" s="136">
        <v>300</v>
      </c>
      <c r="E184" s="136">
        <v>19</v>
      </c>
      <c r="F184" s="136">
        <f t="shared" si="8"/>
        <v>21156</v>
      </c>
      <c r="G184" s="100"/>
      <c r="H184" s="100">
        <v>11195</v>
      </c>
      <c r="I184" s="100">
        <v>9961</v>
      </c>
      <c r="J184" s="100"/>
      <c r="K184" s="100"/>
      <c r="L184" s="100"/>
      <c r="M184" s="100"/>
      <c r="N184" s="100"/>
      <c r="O184" s="160"/>
      <c r="P184" s="167"/>
    </row>
    <row r="185" spans="1:16" ht="33" customHeight="1" x14ac:dyDescent="0.35">
      <c r="A185" s="73" t="s">
        <v>85</v>
      </c>
      <c r="B185" s="192">
        <f t="shared" si="6"/>
        <v>8481</v>
      </c>
      <c r="C185" s="136">
        <f t="shared" si="7"/>
        <v>0</v>
      </c>
      <c r="D185" s="136"/>
      <c r="E185" s="136"/>
      <c r="F185" s="136">
        <f t="shared" si="8"/>
        <v>8481</v>
      </c>
      <c r="G185" s="100"/>
      <c r="H185" s="100">
        <v>4961</v>
      </c>
      <c r="I185" s="100">
        <v>3520</v>
      </c>
      <c r="J185" s="100"/>
      <c r="K185" s="100"/>
      <c r="L185" s="100"/>
      <c r="M185" s="100"/>
      <c r="N185" s="100"/>
      <c r="O185" s="160"/>
      <c r="P185" s="169"/>
    </row>
    <row r="186" spans="1:16" ht="30" customHeight="1" x14ac:dyDescent="0.35">
      <c r="A186" s="132" t="s">
        <v>763</v>
      </c>
      <c r="B186" s="192">
        <f t="shared" si="6"/>
        <v>74765</v>
      </c>
      <c r="C186" s="136">
        <f t="shared" si="7"/>
        <v>51220</v>
      </c>
      <c r="D186" s="136">
        <f>2738+38625</f>
        <v>41363</v>
      </c>
      <c r="E186" s="136">
        <v>9857</v>
      </c>
      <c r="F186" s="136">
        <f t="shared" si="8"/>
        <v>23545</v>
      </c>
      <c r="G186" s="100"/>
      <c r="H186" s="100">
        <v>12051</v>
      </c>
      <c r="I186" s="100">
        <v>11494</v>
      </c>
      <c r="J186" s="100"/>
      <c r="K186" s="100"/>
      <c r="L186" s="100"/>
      <c r="M186" s="100"/>
      <c r="N186" s="100"/>
      <c r="O186" s="160"/>
      <c r="P186" s="167"/>
    </row>
    <row r="187" spans="1:16" ht="30" customHeight="1" x14ac:dyDescent="0.35">
      <c r="A187" s="132" t="s">
        <v>764</v>
      </c>
      <c r="B187" s="192">
        <f t="shared" si="6"/>
        <v>13621</v>
      </c>
      <c r="C187" s="136">
        <f t="shared" si="7"/>
        <v>10623</v>
      </c>
      <c r="D187" s="136">
        <v>8595</v>
      </c>
      <c r="E187" s="136">
        <v>2028</v>
      </c>
      <c r="F187" s="136">
        <f t="shared" si="8"/>
        <v>2398</v>
      </c>
      <c r="G187" s="100"/>
      <c r="H187" s="100">
        <v>500</v>
      </c>
      <c r="I187" s="100">
        <v>1298</v>
      </c>
      <c r="J187" s="100">
        <v>600</v>
      </c>
      <c r="K187" s="100"/>
      <c r="L187" s="100"/>
      <c r="M187" s="100"/>
      <c r="N187" s="100">
        <v>600</v>
      </c>
      <c r="O187" s="160"/>
      <c r="P187" s="167"/>
    </row>
    <row r="188" spans="1:16" ht="30" customHeight="1" x14ac:dyDescent="0.35">
      <c r="A188" s="132" t="s">
        <v>765</v>
      </c>
      <c r="B188" s="192">
        <f t="shared" si="6"/>
        <v>10653</v>
      </c>
      <c r="C188" s="136">
        <f t="shared" si="7"/>
        <v>8742</v>
      </c>
      <c r="D188" s="136">
        <v>7073</v>
      </c>
      <c r="E188" s="136">
        <v>1669</v>
      </c>
      <c r="F188" s="136">
        <f t="shared" si="8"/>
        <v>1911</v>
      </c>
      <c r="G188" s="100"/>
      <c r="H188" s="100">
        <v>645</v>
      </c>
      <c r="I188" s="100">
        <v>1266</v>
      </c>
      <c r="J188" s="100"/>
      <c r="K188" s="100"/>
      <c r="L188" s="100"/>
      <c r="M188" s="100"/>
      <c r="N188" s="100"/>
      <c r="O188" s="160"/>
      <c r="P188" s="167"/>
    </row>
    <row r="189" spans="1:16" ht="20.25" customHeight="1" x14ac:dyDescent="0.35">
      <c r="A189" s="133" t="s">
        <v>634</v>
      </c>
      <c r="B189" s="192">
        <f t="shared" si="6"/>
        <v>84326</v>
      </c>
      <c r="C189" s="136">
        <f t="shared" si="7"/>
        <v>65196</v>
      </c>
      <c r="D189" s="142">
        <v>52492</v>
      </c>
      <c r="E189" s="142">
        <v>12704</v>
      </c>
      <c r="F189" s="136">
        <f t="shared" si="8"/>
        <v>19130</v>
      </c>
      <c r="G189" s="101">
        <v>381</v>
      </c>
      <c r="H189" s="101">
        <v>14337</v>
      </c>
      <c r="I189" s="101">
        <v>4412</v>
      </c>
      <c r="J189" s="101"/>
      <c r="K189" s="101"/>
      <c r="L189" s="101"/>
      <c r="M189" s="101"/>
      <c r="N189" s="101"/>
      <c r="O189" s="164"/>
      <c r="P189" s="167"/>
    </row>
    <row r="190" spans="1:16" ht="21.75" customHeight="1" x14ac:dyDescent="0.35">
      <c r="A190" s="133" t="s">
        <v>630</v>
      </c>
      <c r="B190" s="192">
        <f t="shared" si="6"/>
        <v>68624</v>
      </c>
      <c r="C190" s="136">
        <f t="shared" si="7"/>
        <v>2842</v>
      </c>
      <c r="D190" s="142">
        <v>2300</v>
      </c>
      <c r="E190" s="142">
        <v>542</v>
      </c>
      <c r="F190" s="136">
        <f t="shared" si="8"/>
        <v>65782</v>
      </c>
      <c r="G190" s="101">
        <v>289</v>
      </c>
      <c r="H190" s="101">
        <v>49220</v>
      </c>
      <c r="I190" s="101">
        <v>16273</v>
      </c>
      <c r="J190" s="101"/>
      <c r="K190" s="101"/>
      <c r="L190" s="101"/>
      <c r="M190" s="100"/>
      <c r="N190" s="101"/>
      <c r="O190" s="164"/>
      <c r="P190" s="167"/>
    </row>
    <row r="191" spans="1:16" ht="21" customHeight="1" x14ac:dyDescent="0.35">
      <c r="A191" s="132" t="s">
        <v>26</v>
      </c>
      <c r="B191" s="192">
        <f t="shared" si="6"/>
        <v>38140</v>
      </c>
      <c r="C191" s="136">
        <f t="shared" si="7"/>
        <v>0</v>
      </c>
      <c r="D191" s="136"/>
      <c r="E191" s="136"/>
      <c r="F191" s="136">
        <f t="shared" si="8"/>
        <v>38140</v>
      </c>
      <c r="G191" s="100"/>
      <c r="H191" s="100">
        <v>16740</v>
      </c>
      <c r="I191" s="100">
        <v>21400</v>
      </c>
      <c r="J191" s="100"/>
      <c r="K191" s="100"/>
      <c r="L191" s="100"/>
      <c r="M191" s="100"/>
      <c r="N191" s="100"/>
      <c r="O191" s="160"/>
      <c r="P191" s="167"/>
    </row>
    <row r="192" spans="1:16" ht="22.5" customHeight="1" x14ac:dyDescent="0.35">
      <c r="A192" s="132" t="s">
        <v>27</v>
      </c>
      <c r="B192" s="192">
        <f t="shared" si="6"/>
        <v>1060719</v>
      </c>
      <c r="C192" s="136">
        <f t="shared" si="7"/>
        <v>943040</v>
      </c>
      <c r="D192" s="136">
        <f>318026+224603+202213+1243+648+14411</f>
        <v>761144</v>
      </c>
      <c r="E192" s="136">
        <f>75022+55619+47702+153+3400</f>
        <v>181896</v>
      </c>
      <c r="F192" s="136">
        <f t="shared" si="8"/>
        <v>117679</v>
      </c>
      <c r="G192" s="100"/>
      <c r="H192" s="100">
        <v>46811</v>
      </c>
      <c r="I192" s="100">
        <v>70868</v>
      </c>
      <c r="J192" s="100"/>
      <c r="K192" s="100"/>
      <c r="L192" s="100"/>
      <c r="M192" s="100"/>
      <c r="N192" s="100"/>
      <c r="O192" s="160"/>
      <c r="P192" s="167"/>
    </row>
    <row r="193" spans="1:16" ht="18.75" customHeight="1" x14ac:dyDescent="0.35">
      <c r="A193" s="132" t="s">
        <v>28</v>
      </c>
      <c r="B193" s="192">
        <f t="shared" si="6"/>
        <v>636493</v>
      </c>
      <c r="C193" s="136">
        <f t="shared" si="7"/>
        <v>561676</v>
      </c>
      <c r="D193" s="136">
        <f>229407+138629+85939+492</f>
        <v>454467</v>
      </c>
      <c r="E193" s="136">
        <f>54117+32703+20273+116</f>
        <v>107209</v>
      </c>
      <c r="F193" s="136">
        <f t="shared" si="8"/>
        <v>74817</v>
      </c>
      <c r="G193" s="100"/>
      <c r="H193" s="100">
        <v>30064</v>
      </c>
      <c r="I193" s="100">
        <v>44753</v>
      </c>
      <c r="J193" s="100"/>
      <c r="K193" s="100"/>
      <c r="L193" s="100"/>
      <c r="M193" s="100"/>
      <c r="N193" s="100"/>
      <c r="O193" s="160"/>
      <c r="P193" s="169"/>
    </row>
    <row r="194" spans="1:16" ht="17.25" customHeight="1" x14ac:dyDescent="0.35">
      <c r="A194" s="132" t="s">
        <v>29</v>
      </c>
      <c r="B194" s="192">
        <f t="shared" si="6"/>
        <v>170836</v>
      </c>
      <c r="C194" s="136">
        <f t="shared" si="7"/>
        <v>161383</v>
      </c>
      <c r="D194" s="136">
        <f>72152+35492+22798</f>
        <v>130442</v>
      </c>
      <c r="E194" s="136">
        <f>17020+8543+5378</f>
        <v>30941</v>
      </c>
      <c r="F194" s="136">
        <f t="shared" si="8"/>
        <v>9453</v>
      </c>
      <c r="G194" s="100"/>
      <c r="H194" s="100">
        <v>1103</v>
      </c>
      <c r="I194" s="100">
        <v>8350</v>
      </c>
      <c r="J194" s="100"/>
      <c r="K194" s="100"/>
      <c r="L194" s="100"/>
      <c r="M194" s="100"/>
      <c r="N194" s="100"/>
      <c r="O194" s="160"/>
      <c r="P194" s="167"/>
    </row>
    <row r="195" spans="1:16" ht="15" customHeight="1" x14ac:dyDescent="0.35">
      <c r="A195" s="132" t="s">
        <v>472</v>
      </c>
      <c r="B195" s="192">
        <f t="shared" si="6"/>
        <v>355860</v>
      </c>
      <c r="C195" s="136">
        <f t="shared" si="7"/>
        <v>325404</v>
      </c>
      <c r="D195" s="136">
        <f>132836+107280+22798</f>
        <v>262914</v>
      </c>
      <c r="E195" s="136">
        <f>31336+25776+5378</f>
        <v>62490</v>
      </c>
      <c r="F195" s="136">
        <f t="shared" si="8"/>
        <v>30456</v>
      </c>
      <c r="G195" s="100"/>
      <c r="H195" s="100">
        <v>7512</v>
      </c>
      <c r="I195" s="100">
        <v>22877</v>
      </c>
      <c r="J195" s="100"/>
      <c r="K195" s="100">
        <v>67</v>
      </c>
      <c r="L195" s="100"/>
      <c r="M195" s="100"/>
      <c r="N195" s="100"/>
      <c r="O195" s="160"/>
      <c r="P195" s="167"/>
    </row>
    <row r="196" spans="1:16" ht="30" customHeight="1" x14ac:dyDescent="0.35">
      <c r="A196" s="132" t="s">
        <v>89</v>
      </c>
      <c r="B196" s="192">
        <f t="shared" si="6"/>
        <v>438531</v>
      </c>
      <c r="C196" s="136">
        <f t="shared" si="7"/>
        <v>401277</v>
      </c>
      <c r="D196" s="136">
        <f>143080+82984+79298+19215</f>
        <v>324577</v>
      </c>
      <c r="E196" s="136">
        <f>33752+19709+18706+4533</f>
        <v>76700</v>
      </c>
      <c r="F196" s="136">
        <f t="shared" si="8"/>
        <v>37254</v>
      </c>
      <c r="G196" s="100"/>
      <c r="H196" s="100">
        <v>8740</v>
      </c>
      <c r="I196" s="100">
        <v>28514</v>
      </c>
      <c r="J196" s="100"/>
      <c r="K196" s="100"/>
      <c r="L196" s="100"/>
      <c r="M196" s="100"/>
      <c r="N196" s="100"/>
      <c r="O196" s="160"/>
      <c r="P196" s="167"/>
    </row>
    <row r="197" spans="1:16" ht="30" customHeight="1" x14ac:dyDescent="0.35">
      <c r="A197" s="132" t="s">
        <v>532</v>
      </c>
      <c r="B197" s="192">
        <f t="shared" si="6"/>
        <v>48690</v>
      </c>
      <c r="C197" s="136">
        <f t="shared" si="7"/>
        <v>27240</v>
      </c>
      <c r="D197" s="136">
        <v>22040</v>
      </c>
      <c r="E197" s="136">
        <v>5200</v>
      </c>
      <c r="F197" s="136">
        <f t="shared" si="8"/>
        <v>21450</v>
      </c>
      <c r="G197" s="100"/>
      <c r="H197" s="100">
        <v>2850</v>
      </c>
      <c r="I197" s="100">
        <v>18600</v>
      </c>
      <c r="J197" s="100"/>
      <c r="K197" s="100"/>
      <c r="L197" s="100"/>
      <c r="M197" s="100"/>
      <c r="N197" s="100"/>
      <c r="O197" s="160"/>
      <c r="P197" s="167"/>
    </row>
    <row r="198" spans="1:16" ht="30" customHeight="1" x14ac:dyDescent="0.35">
      <c r="A198" s="132" t="s">
        <v>61</v>
      </c>
      <c r="B198" s="192">
        <f t="shared" si="6"/>
        <v>1576699</v>
      </c>
      <c r="C198" s="136">
        <f t="shared" si="7"/>
        <v>1276560</v>
      </c>
      <c r="D198" s="136">
        <f>14108+113744+859074+25944+3700+648+14411</f>
        <v>1031629</v>
      </c>
      <c r="E198" s="136">
        <f>3328+29274+202656+6120+153+3400</f>
        <v>244931</v>
      </c>
      <c r="F198" s="136">
        <f t="shared" si="8"/>
        <v>300139</v>
      </c>
      <c r="G198" s="100">
        <v>300</v>
      </c>
      <c r="H198" s="100">
        <v>72050</v>
      </c>
      <c r="I198" s="100">
        <v>227789</v>
      </c>
      <c r="J198" s="100"/>
      <c r="K198" s="100"/>
      <c r="L198" s="100"/>
      <c r="M198" s="100"/>
      <c r="N198" s="100">
        <v>0</v>
      </c>
      <c r="O198" s="160"/>
      <c r="P198" s="167"/>
    </row>
    <row r="199" spans="1:16" s="66" customFormat="1" ht="20.25" customHeight="1" x14ac:dyDescent="0.35">
      <c r="A199" s="132" t="s">
        <v>93</v>
      </c>
      <c r="B199" s="192">
        <f t="shared" si="6"/>
        <v>550244</v>
      </c>
      <c r="C199" s="136">
        <f t="shared" si="7"/>
        <v>483002</v>
      </c>
      <c r="D199" s="136">
        <f>34712+24911+148938+136040+12273+8457+2000+4500+492+14411+2719</f>
        <v>389453</v>
      </c>
      <c r="E199" s="136">
        <f>8189+5877+38344+32092+2895+1995+116+3400+641</f>
        <v>93549</v>
      </c>
      <c r="F199" s="136">
        <f t="shared" si="8"/>
        <v>67242</v>
      </c>
      <c r="G199" s="100">
        <v>48</v>
      </c>
      <c r="H199" s="100">
        <v>15031</v>
      </c>
      <c r="I199" s="100">
        <v>51913</v>
      </c>
      <c r="J199" s="100"/>
      <c r="K199" s="100">
        <v>250</v>
      </c>
      <c r="L199" s="100"/>
      <c r="M199" s="100"/>
      <c r="N199" s="100"/>
      <c r="O199" s="160"/>
      <c r="P199" s="168"/>
    </row>
    <row r="200" spans="1:16" ht="21.75" customHeight="1" x14ac:dyDescent="0.35">
      <c r="A200" s="187" t="s">
        <v>90</v>
      </c>
      <c r="B200" s="192">
        <f t="shared" si="6"/>
        <v>717789</v>
      </c>
      <c r="C200" s="136">
        <f t="shared" si="7"/>
        <v>663891</v>
      </c>
      <c r="D200" s="142">
        <f>9399+21943+112562+326512+13088+5641+3000+588+43234+1359</f>
        <v>537326</v>
      </c>
      <c r="E200" s="142">
        <f>2217+5176+27070+77024+3088+1331+139+10199+321</f>
        <v>126565</v>
      </c>
      <c r="F200" s="136">
        <f t="shared" si="8"/>
        <v>52698</v>
      </c>
      <c r="G200" s="106">
        <v>80</v>
      </c>
      <c r="H200" s="106">
        <v>19327</v>
      </c>
      <c r="I200" s="106">
        <v>33291</v>
      </c>
      <c r="J200" s="106"/>
      <c r="K200" s="165"/>
      <c r="L200" s="101"/>
      <c r="M200" s="101"/>
      <c r="N200" s="172">
        <v>1200</v>
      </c>
      <c r="O200" s="165"/>
      <c r="P200" s="167"/>
    </row>
    <row r="201" spans="1:16" ht="23.25" customHeight="1" x14ac:dyDescent="0.35">
      <c r="A201" s="132" t="s">
        <v>30</v>
      </c>
      <c r="B201" s="192">
        <f t="shared" si="6"/>
        <v>538365</v>
      </c>
      <c r="C201" s="136">
        <f t="shared" si="7"/>
        <v>495927</v>
      </c>
      <c r="D201" s="136">
        <f>96242+290761+7331+1871+300+4804</f>
        <v>401309</v>
      </c>
      <c r="E201" s="136">
        <f>23094+68591+1729+71+1133</f>
        <v>94618</v>
      </c>
      <c r="F201" s="136">
        <f t="shared" si="8"/>
        <v>41588</v>
      </c>
      <c r="G201" s="100"/>
      <c r="H201" s="100">
        <v>14670</v>
      </c>
      <c r="I201" s="100">
        <v>26816</v>
      </c>
      <c r="J201" s="100"/>
      <c r="K201" s="100">
        <v>102</v>
      </c>
      <c r="L201" s="100"/>
      <c r="M201" s="100"/>
      <c r="N201" s="100">
        <v>850</v>
      </c>
      <c r="O201" s="160"/>
      <c r="P201" s="167"/>
    </row>
    <row r="202" spans="1:16" ht="24.75" customHeight="1" x14ac:dyDescent="0.35">
      <c r="A202" s="132" t="s">
        <v>145</v>
      </c>
      <c r="B202" s="192">
        <f t="shared" si="6"/>
        <v>992833</v>
      </c>
      <c r="C202" s="136">
        <f t="shared" si="7"/>
        <v>884816</v>
      </c>
      <c r="D202" s="136">
        <f>31391+54511+137777+447201+21041+16361+4100+420-21299+33626</f>
        <v>725129</v>
      </c>
      <c r="E202" s="136">
        <f>7405+34957+105495+4963+3859+99-5024+7933</f>
        <v>159687</v>
      </c>
      <c r="F202" s="136">
        <f t="shared" si="8"/>
        <v>106417</v>
      </c>
      <c r="G202" s="100">
        <v>200</v>
      </c>
      <c r="H202" s="100">
        <v>31536</v>
      </c>
      <c r="I202" s="100">
        <v>74681</v>
      </c>
      <c r="J202" s="100"/>
      <c r="K202" s="100"/>
      <c r="L202" s="100"/>
      <c r="M202" s="100"/>
      <c r="N202" s="100">
        <v>1600</v>
      </c>
      <c r="O202" s="160"/>
      <c r="P202" s="167"/>
    </row>
    <row r="203" spans="1:16" ht="30" customHeight="1" x14ac:dyDescent="0.35">
      <c r="A203" s="132" t="s">
        <v>146</v>
      </c>
      <c r="B203" s="192">
        <f t="shared" si="6"/>
        <v>90722</v>
      </c>
      <c r="C203" s="136">
        <f t="shared" si="7"/>
        <v>67370</v>
      </c>
      <c r="D203" s="136">
        <f>54511</f>
        <v>54511</v>
      </c>
      <c r="E203" s="136">
        <f>12859</f>
        <v>12859</v>
      </c>
      <c r="F203" s="136">
        <f t="shared" si="8"/>
        <v>23352</v>
      </c>
      <c r="G203" s="100"/>
      <c r="H203" s="100">
        <v>6065</v>
      </c>
      <c r="I203" s="100">
        <v>17287</v>
      </c>
      <c r="J203" s="100"/>
      <c r="K203" s="100"/>
      <c r="L203" s="100"/>
      <c r="M203" s="100"/>
      <c r="N203" s="100"/>
      <c r="O203" s="160"/>
      <c r="P203" s="167"/>
    </row>
    <row r="204" spans="1:16" ht="21.75" customHeight="1" x14ac:dyDescent="0.35">
      <c r="A204" s="132" t="s">
        <v>31</v>
      </c>
      <c r="B204" s="192">
        <f t="shared" si="6"/>
        <v>1216232</v>
      </c>
      <c r="C204" s="136">
        <f t="shared" si="7"/>
        <v>996723</v>
      </c>
      <c r="D204" s="136">
        <f>40011+179327+567861+15234+3398+480</f>
        <v>806311</v>
      </c>
      <c r="E204" s="136">
        <f>9438+43308+133959+3594+113</f>
        <v>190412</v>
      </c>
      <c r="F204" s="136">
        <f t="shared" si="8"/>
        <v>218404</v>
      </c>
      <c r="G204" s="100">
        <v>200</v>
      </c>
      <c r="H204" s="100">
        <v>62251</v>
      </c>
      <c r="I204" s="100">
        <v>155953</v>
      </c>
      <c r="J204" s="100"/>
      <c r="K204" s="100"/>
      <c r="L204" s="100"/>
      <c r="M204" s="100"/>
      <c r="N204" s="100">
        <v>1105</v>
      </c>
      <c r="O204" s="160"/>
      <c r="P204" s="167"/>
    </row>
    <row r="205" spans="1:16" ht="24.75" customHeight="1" x14ac:dyDescent="0.35">
      <c r="A205" s="132" t="s">
        <v>488</v>
      </c>
      <c r="B205" s="192">
        <f t="shared" ref="B205:B272" si="9">SUM(C205+F205,L205,M205,N205,O205,P205)</f>
        <v>1047351</v>
      </c>
      <c r="C205" s="136">
        <f t="shared" ref="C205:C272" si="10">D205+E205</f>
        <v>915085</v>
      </c>
      <c r="D205" s="136">
        <f>7292+178802+508886+20866+3400+480+19215+1359</f>
        <v>740300</v>
      </c>
      <c r="E205" s="136">
        <f>1720+43130+120046+4922+113+4533+321</f>
        <v>174785</v>
      </c>
      <c r="F205" s="136">
        <f t="shared" ref="F205:F272" si="11">SUM(G205,H205,I205,J205,K205)</f>
        <v>117266</v>
      </c>
      <c r="G205" s="100">
        <v>280</v>
      </c>
      <c r="H205" s="100">
        <v>32005</v>
      </c>
      <c r="I205" s="100">
        <v>84326</v>
      </c>
      <c r="J205" s="100">
        <v>213</v>
      </c>
      <c r="K205" s="100">
        <v>442</v>
      </c>
      <c r="L205" s="100"/>
      <c r="M205" s="100"/>
      <c r="N205" s="100">
        <v>15000</v>
      </c>
      <c r="O205" s="160"/>
      <c r="P205" s="167"/>
    </row>
    <row r="206" spans="1:16" ht="30" customHeight="1" x14ac:dyDescent="0.35">
      <c r="A206" s="132" t="s">
        <v>41</v>
      </c>
      <c r="B206" s="192">
        <f t="shared" si="9"/>
        <v>1318398</v>
      </c>
      <c r="C206" s="136">
        <f t="shared" si="10"/>
        <v>1087223</v>
      </c>
      <c r="D206" s="136">
        <f>42858+179138+373108+11282+260186+11716+3400</f>
        <v>881688</v>
      </c>
      <c r="E206" s="136">
        <f>10110+43369+88016+2662+61378</f>
        <v>205535</v>
      </c>
      <c r="F206" s="136">
        <f t="shared" si="11"/>
        <v>207675</v>
      </c>
      <c r="G206" s="100">
        <v>720</v>
      </c>
      <c r="H206" s="100">
        <v>88555</v>
      </c>
      <c r="I206" s="100">
        <v>118250</v>
      </c>
      <c r="J206" s="100"/>
      <c r="K206" s="100">
        <v>150</v>
      </c>
      <c r="L206" s="100"/>
      <c r="M206" s="100"/>
      <c r="N206" s="100">
        <v>7000</v>
      </c>
      <c r="O206" s="160">
        <v>16500</v>
      </c>
      <c r="P206" s="167"/>
    </row>
    <row r="207" spans="1:16" ht="25.5" customHeight="1" x14ac:dyDescent="0.35">
      <c r="A207" s="132" t="s">
        <v>92</v>
      </c>
      <c r="B207" s="192">
        <f t="shared" si="9"/>
        <v>761371</v>
      </c>
      <c r="C207" s="136">
        <f t="shared" si="10"/>
        <v>659806</v>
      </c>
      <c r="D207" s="136">
        <f>42573+67046+163508+208628+10146+33323+9000+1359</f>
        <v>535583</v>
      </c>
      <c r="E207" s="136">
        <f>10043+15816+38572+49216+7861+2394+321</f>
        <v>124223</v>
      </c>
      <c r="F207" s="136">
        <f t="shared" si="11"/>
        <v>100865</v>
      </c>
      <c r="G207" s="100"/>
      <c r="H207" s="100">
        <v>31967</v>
      </c>
      <c r="I207" s="100">
        <v>68340</v>
      </c>
      <c r="J207" s="100"/>
      <c r="K207" s="100">
        <v>558</v>
      </c>
      <c r="L207" s="100"/>
      <c r="M207" s="100"/>
      <c r="N207" s="100">
        <v>700</v>
      </c>
      <c r="O207" s="160"/>
      <c r="P207" s="167"/>
    </row>
    <row r="208" spans="1:16" ht="23.25" customHeight="1" x14ac:dyDescent="0.35">
      <c r="A208" s="132" t="s">
        <v>87</v>
      </c>
      <c r="B208" s="192">
        <f t="shared" si="9"/>
        <v>865843</v>
      </c>
      <c r="C208" s="136">
        <f t="shared" si="10"/>
        <v>763192</v>
      </c>
      <c r="D208" s="136">
        <f>29142+76085+160238+270760+54364+12409+3000+9925+420+2719</f>
        <v>619062</v>
      </c>
      <c r="E208" s="136">
        <f>6874+17949+38944+63872+12824+2927+99+641</f>
        <v>144130</v>
      </c>
      <c r="F208" s="136">
        <f t="shared" si="11"/>
        <v>102351</v>
      </c>
      <c r="G208" s="100"/>
      <c r="H208" s="100">
        <v>26679</v>
      </c>
      <c r="I208" s="100">
        <v>75462</v>
      </c>
      <c r="J208" s="100"/>
      <c r="K208" s="100">
        <v>210</v>
      </c>
      <c r="L208" s="100"/>
      <c r="M208" s="100"/>
      <c r="N208" s="100">
        <v>300</v>
      </c>
      <c r="O208" s="160"/>
      <c r="P208" s="167"/>
    </row>
    <row r="209" spans="1:16" ht="33.75" customHeight="1" x14ac:dyDescent="0.35">
      <c r="A209" s="188" t="s">
        <v>94</v>
      </c>
      <c r="B209" s="192">
        <f t="shared" si="9"/>
        <v>1001642</v>
      </c>
      <c r="C209" s="136">
        <f t="shared" si="10"/>
        <v>857791</v>
      </c>
      <c r="D209" s="142">
        <f>210646+13156+82417+340299+28061+15234+430+420+2719</f>
        <v>693382</v>
      </c>
      <c r="E209" s="142">
        <f>50633+3104+19442+80277+6619+3594+99+641</f>
        <v>164409</v>
      </c>
      <c r="F209" s="136">
        <f t="shared" si="11"/>
        <v>142851</v>
      </c>
      <c r="G209" s="101">
        <v>180</v>
      </c>
      <c r="H209" s="101">
        <v>38362</v>
      </c>
      <c r="I209" s="101">
        <v>104109</v>
      </c>
      <c r="J209" s="101"/>
      <c r="K209" s="101">
        <v>200</v>
      </c>
      <c r="L209" s="101"/>
      <c r="M209" s="101"/>
      <c r="N209" s="101">
        <v>1000</v>
      </c>
      <c r="O209" s="164"/>
      <c r="P209" s="167"/>
    </row>
    <row r="210" spans="1:16" ht="22.5" customHeight="1" x14ac:dyDescent="0.35">
      <c r="A210" s="132" t="s">
        <v>32</v>
      </c>
      <c r="B210" s="192">
        <f t="shared" si="9"/>
        <v>891154</v>
      </c>
      <c r="C210" s="136">
        <f t="shared" si="10"/>
        <v>849150</v>
      </c>
      <c r="D210" s="136">
        <f>54548+49723+565323+14661+588</f>
        <v>684843</v>
      </c>
      <c r="E210" s="136">
        <f>12868+14581+133360+3359+139</f>
        <v>164307</v>
      </c>
      <c r="F210" s="136">
        <f t="shared" si="11"/>
        <v>38844</v>
      </c>
      <c r="G210" s="100">
        <v>1940</v>
      </c>
      <c r="H210" s="100">
        <v>23396</v>
      </c>
      <c r="I210" s="100">
        <v>13136</v>
      </c>
      <c r="J210" s="100"/>
      <c r="K210" s="100">
        <v>372</v>
      </c>
      <c r="L210" s="100"/>
      <c r="M210" s="100"/>
      <c r="N210" s="100">
        <v>3160</v>
      </c>
      <c r="O210" s="160"/>
      <c r="P210" s="167"/>
    </row>
    <row r="211" spans="1:16" ht="24.75" customHeight="1" x14ac:dyDescent="0.35">
      <c r="A211" s="132" t="s">
        <v>33</v>
      </c>
      <c r="B211" s="192">
        <f t="shared" si="9"/>
        <v>294242</v>
      </c>
      <c r="C211" s="136">
        <f t="shared" si="10"/>
        <v>260930</v>
      </c>
      <c r="D211" s="136">
        <f>107815+26845+68315+7282+588</f>
        <v>210845</v>
      </c>
      <c r="E211" s="136">
        <f>25433+6680+16115+1718+139</f>
        <v>50085</v>
      </c>
      <c r="F211" s="136">
        <f t="shared" si="11"/>
        <v>33312</v>
      </c>
      <c r="G211" s="100">
        <v>260</v>
      </c>
      <c r="H211" s="100">
        <v>12998</v>
      </c>
      <c r="I211" s="100">
        <v>20054</v>
      </c>
      <c r="J211" s="100"/>
      <c r="K211" s="100"/>
      <c r="L211" s="100"/>
      <c r="M211" s="100"/>
      <c r="N211" s="100"/>
      <c r="O211" s="160"/>
      <c r="P211" s="167"/>
    </row>
    <row r="212" spans="1:16" ht="24.75" customHeight="1" x14ac:dyDescent="0.35">
      <c r="A212" s="132" t="s">
        <v>34</v>
      </c>
      <c r="B212" s="192">
        <f t="shared" si="9"/>
        <v>711775</v>
      </c>
      <c r="C212" s="136">
        <f t="shared" si="10"/>
        <v>594372</v>
      </c>
      <c r="D212" s="136">
        <f>65384+84087+318355+12409</f>
        <v>480235</v>
      </c>
      <c r="E212" s="136">
        <f>15424+20686+75100+2927</f>
        <v>114137</v>
      </c>
      <c r="F212" s="136">
        <f t="shared" si="11"/>
        <v>115664</v>
      </c>
      <c r="G212" s="100">
        <v>7675</v>
      </c>
      <c r="H212" s="100">
        <v>46428</v>
      </c>
      <c r="I212" s="100">
        <f>57381+3580</f>
        <v>60961</v>
      </c>
      <c r="J212" s="100"/>
      <c r="K212" s="100">
        <v>600</v>
      </c>
      <c r="L212" s="100"/>
      <c r="M212" s="100"/>
      <c r="N212" s="100">
        <v>139</v>
      </c>
      <c r="O212" s="160">
        <v>1600</v>
      </c>
      <c r="P212" s="167"/>
    </row>
    <row r="213" spans="1:16" ht="22.5" customHeight="1" x14ac:dyDescent="0.35">
      <c r="A213" s="132" t="s">
        <v>40</v>
      </c>
      <c r="B213" s="192">
        <f t="shared" si="9"/>
        <v>240877</v>
      </c>
      <c r="C213" s="136">
        <f t="shared" si="10"/>
        <v>115077</v>
      </c>
      <c r="D213" s="136">
        <v>93112</v>
      </c>
      <c r="E213" s="136">
        <v>21965</v>
      </c>
      <c r="F213" s="136">
        <f t="shared" si="11"/>
        <v>125116</v>
      </c>
      <c r="G213" s="100"/>
      <c r="H213" s="100">
        <v>108550</v>
      </c>
      <c r="I213" s="100">
        <v>16566</v>
      </c>
      <c r="J213" s="100"/>
      <c r="K213" s="100"/>
      <c r="L213" s="100"/>
      <c r="M213" s="100"/>
      <c r="N213" s="100">
        <v>684</v>
      </c>
      <c r="O213" s="160"/>
      <c r="P213" s="167"/>
    </row>
    <row r="214" spans="1:16" ht="30" customHeight="1" x14ac:dyDescent="0.35">
      <c r="A214" s="132" t="s">
        <v>147</v>
      </c>
      <c r="B214" s="192">
        <f t="shared" si="9"/>
        <v>204054</v>
      </c>
      <c r="C214" s="136">
        <f t="shared" si="10"/>
        <v>168872</v>
      </c>
      <c r="D214" s="136">
        <f>22351+67203+47084</f>
        <v>136638</v>
      </c>
      <c r="E214" s="136">
        <f>5273+15854+11107</f>
        <v>32234</v>
      </c>
      <c r="F214" s="136">
        <f t="shared" si="11"/>
        <v>35182</v>
      </c>
      <c r="G214" s="100">
        <v>700</v>
      </c>
      <c r="H214" s="100">
        <v>19077</v>
      </c>
      <c r="I214" s="100">
        <v>15405</v>
      </c>
      <c r="J214" s="100"/>
      <c r="K214" s="100"/>
      <c r="L214" s="100"/>
      <c r="M214" s="100"/>
      <c r="N214" s="100"/>
      <c r="O214" s="160"/>
      <c r="P214" s="167"/>
    </row>
    <row r="215" spans="1:16" ht="22.5" customHeight="1" x14ac:dyDescent="0.35">
      <c r="A215" s="132" t="s">
        <v>91</v>
      </c>
      <c r="B215" s="192">
        <f t="shared" si="9"/>
        <v>280445</v>
      </c>
      <c r="C215" s="136">
        <f t="shared" si="10"/>
        <v>271208</v>
      </c>
      <c r="D215" s="136">
        <v>218432</v>
      </c>
      <c r="E215" s="136">
        <v>52776</v>
      </c>
      <c r="F215" s="136">
        <f t="shared" si="11"/>
        <v>9237</v>
      </c>
      <c r="G215" s="100">
        <v>718</v>
      </c>
      <c r="H215" s="100">
        <v>3371</v>
      </c>
      <c r="I215" s="100">
        <v>4988</v>
      </c>
      <c r="J215" s="100"/>
      <c r="K215" s="100">
        <v>160</v>
      </c>
      <c r="L215" s="100"/>
      <c r="M215" s="100"/>
      <c r="N215" s="100"/>
      <c r="O215" s="160"/>
      <c r="P215" s="167"/>
    </row>
    <row r="216" spans="1:16" ht="21" customHeight="1" x14ac:dyDescent="0.35">
      <c r="A216" s="132" t="s">
        <v>96</v>
      </c>
      <c r="B216" s="192">
        <f t="shared" si="9"/>
        <v>51921</v>
      </c>
      <c r="C216" s="136">
        <f t="shared" si="10"/>
        <v>7800</v>
      </c>
      <c r="D216" s="136">
        <v>7800</v>
      </c>
      <c r="E216" s="147"/>
      <c r="F216" s="136">
        <f t="shared" si="11"/>
        <v>36621</v>
      </c>
      <c r="G216" s="100">
        <v>1287</v>
      </c>
      <c r="H216" s="100">
        <v>4356</v>
      </c>
      <c r="I216" s="100">
        <v>30978</v>
      </c>
      <c r="J216" s="100"/>
      <c r="K216" s="100"/>
      <c r="L216" s="100"/>
      <c r="M216" s="100"/>
      <c r="N216" s="100"/>
      <c r="O216" s="160">
        <v>7500</v>
      </c>
      <c r="P216" s="167"/>
    </row>
    <row r="217" spans="1:16" ht="22.5" customHeight="1" x14ac:dyDescent="0.35">
      <c r="A217" s="132" t="s">
        <v>45</v>
      </c>
      <c r="B217" s="192">
        <f t="shared" si="9"/>
        <v>0</v>
      </c>
      <c r="C217" s="136">
        <f t="shared" si="10"/>
        <v>0</v>
      </c>
      <c r="D217" s="136"/>
      <c r="E217" s="136"/>
      <c r="F217" s="136">
        <f t="shared" si="11"/>
        <v>0</v>
      </c>
      <c r="G217" s="100"/>
      <c r="H217" s="100"/>
      <c r="I217" s="100"/>
      <c r="J217" s="100"/>
      <c r="K217" s="100"/>
      <c r="L217" s="100"/>
      <c r="M217" s="100"/>
      <c r="N217" s="100"/>
      <c r="O217" s="160"/>
      <c r="P217" s="167"/>
    </row>
    <row r="218" spans="1:16" ht="30" customHeight="1" x14ac:dyDescent="0.35">
      <c r="A218" s="181" t="s">
        <v>126</v>
      </c>
      <c r="B218" s="192">
        <f t="shared" si="9"/>
        <v>20872</v>
      </c>
      <c r="C218" s="136">
        <f t="shared" si="10"/>
        <v>7625</v>
      </c>
      <c r="D218" s="136">
        <v>6170</v>
      </c>
      <c r="E218" s="136">
        <v>1455</v>
      </c>
      <c r="F218" s="136">
        <f t="shared" si="11"/>
        <v>13247</v>
      </c>
      <c r="G218" s="100"/>
      <c r="H218" s="100">
        <v>5897</v>
      </c>
      <c r="I218" s="100">
        <v>7150</v>
      </c>
      <c r="J218" s="100"/>
      <c r="K218" s="100">
        <v>200</v>
      </c>
      <c r="L218" s="100"/>
      <c r="M218" s="100"/>
      <c r="N218" s="100"/>
      <c r="O218" s="160"/>
      <c r="P218" s="167"/>
    </row>
    <row r="219" spans="1:16" ht="30" customHeight="1" x14ac:dyDescent="0.35">
      <c r="A219" s="73" t="s">
        <v>112</v>
      </c>
      <c r="B219" s="192">
        <f t="shared" si="9"/>
        <v>22630</v>
      </c>
      <c r="C219" s="136">
        <f t="shared" si="10"/>
        <v>14520</v>
      </c>
      <c r="D219" s="136">
        <v>11748</v>
      </c>
      <c r="E219" s="136">
        <v>2772</v>
      </c>
      <c r="F219" s="136">
        <f t="shared" si="11"/>
        <v>8110</v>
      </c>
      <c r="G219" s="100">
        <v>40</v>
      </c>
      <c r="H219" s="100">
        <v>4800</v>
      </c>
      <c r="I219" s="100">
        <v>3120</v>
      </c>
      <c r="J219" s="100"/>
      <c r="K219" s="100">
        <v>150</v>
      </c>
      <c r="L219" s="100"/>
      <c r="M219" s="100"/>
      <c r="N219" s="100"/>
      <c r="O219" s="160"/>
      <c r="P219" s="167"/>
    </row>
    <row r="220" spans="1:16" ht="30" customHeight="1" x14ac:dyDescent="0.35">
      <c r="A220" s="73" t="s">
        <v>113</v>
      </c>
      <c r="B220" s="192">
        <f t="shared" si="9"/>
        <v>24304</v>
      </c>
      <c r="C220" s="136">
        <f t="shared" si="10"/>
        <v>14871</v>
      </c>
      <c r="D220" s="136">
        <v>12052</v>
      </c>
      <c r="E220" s="136">
        <v>2819</v>
      </c>
      <c r="F220" s="136">
        <f t="shared" si="11"/>
        <v>9433</v>
      </c>
      <c r="G220" s="100">
        <v>100</v>
      </c>
      <c r="H220" s="100">
        <v>5160</v>
      </c>
      <c r="I220" s="100">
        <v>4038</v>
      </c>
      <c r="J220" s="100"/>
      <c r="K220" s="100">
        <v>135</v>
      </c>
      <c r="L220" s="100"/>
      <c r="M220" s="100"/>
      <c r="N220" s="100"/>
      <c r="O220" s="160"/>
      <c r="P220" s="167"/>
    </row>
    <row r="221" spans="1:16" ht="30" customHeight="1" x14ac:dyDescent="0.35">
      <c r="A221" s="73" t="s">
        <v>109</v>
      </c>
      <c r="B221" s="192">
        <f t="shared" si="9"/>
        <v>24679</v>
      </c>
      <c r="C221" s="136">
        <f t="shared" si="10"/>
        <v>13879</v>
      </c>
      <c r="D221" s="136">
        <v>11249</v>
      </c>
      <c r="E221" s="136">
        <v>2630</v>
      </c>
      <c r="F221" s="136">
        <f t="shared" si="11"/>
        <v>10800</v>
      </c>
      <c r="G221" s="100">
        <v>40</v>
      </c>
      <c r="H221" s="100">
        <v>3860</v>
      </c>
      <c r="I221" s="100">
        <v>6730</v>
      </c>
      <c r="J221" s="100"/>
      <c r="K221" s="100">
        <v>170</v>
      </c>
      <c r="L221" s="100"/>
      <c r="M221" s="100"/>
      <c r="N221" s="100"/>
      <c r="O221" s="160"/>
      <c r="P221" s="167"/>
    </row>
    <row r="222" spans="1:16" ht="30" customHeight="1" x14ac:dyDescent="0.35">
      <c r="A222" s="73" t="s">
        <v>129</v>
      </c>
      <c r="B222" s="192">
        <f t="shared" si="9"/>
        <v>22522</v>
      </c>
      <c r="C222" s="136">
        <f t="shared" si="10"/>
        <v>13036</v>
      </c>
      <c r="D222" s="136">
        <v>10548</v>
      </c>
      <c r="E222" s="136">
        <v>2488</v>
      </c>
      <c r="F222" s="136">
        <f t="shared" si="11"/>
        <v>9486</v>
      </c>
      <c r="G222" s="100">
        <v>120</v>
      </c>
      <c r="H222" s="100">
        <v>2766</v>
      </c>
      <c r="I222" s="100">
        <v>6600</v>
      </c>
      <c r="J222" s="100"/>
      <c r="K222" s="100"/>
      <c r="L222" s="100"/>
      <c r="M222" s="100"/>
      <c r="N222" s="100"/>
      <c r="O222" s="160"/>
      <c r="P222" s="167"/>
    </row>
    <row r="223" spans="1:16" ht="30" customHeight="1" x14ac:dyDescent="0.35">
      <c r="A223" s="73" t="s">
        <v>111</v>
      </c>
      <c r="B223" s="192">
        <f t="shared" si="9"/>
        <v>21779</v>
      </c>
      <c r="C223" s="136">
        <f t="shared" si="10"/>
        <v>12710</v>
      </c>
      <c r="D223" s="136">
        <v>10284</v>
      </c>
      <c r="E223" s="136">
        <v>2426</v>
      </c>
      <c r="F223" s="136">
        <f t="shared" si="11"/>
        <v>9069</v>
      </c>
      <c r="G223" s="100">
        <v>80</v>
      </c>
      <c r="H223" s="100">
        <v>5073</v>
      </c>
      <c r="I223" s="100">
        <v>3766</v>
      </c>
      <c r="J223" s="100"/>
      <c r="K223" s="160">
        <v>150</v>
      </c>
      <c r="L223" s="100"/>
      <c r="M223" s="101"/>
      <c r="N223" s="171"/>
      <c r="O223" s="160"/>
      <c r="P223" s="167"/>
    </row>
    <row r="224" spans="1:16" ht="30" customHeight="1" x14ac:dyDescent="0.35">
      <c r="A224" s="182" t="s">
        <v>119</v>
      </c>
      <c r="B224" s="192">
        <f t="shared" si="9"/>
        <v>106677</v>
      </c>
      <c r="C224" s="136">
        <f t="shared" si="10"/>
        <v>54587</v>
      </c>
      <c r="D224" s="142">
        <v>44168</v>
      </c>
      <c r="E224" s="142">
        <v>10419</v>
      </c>
      <c r="F224" s="136">
        <f t="shared" si="11"/>
        <v>52090</v>
      </c>
      <c r="G224" s="103">
        <v>240</v>
      </c>
      <c r="H224" s="103">
        <v>21650</v>
      </c>
      <c r="I224" s="103">
        <v>30200</v>
      </c>
      <c r="J224" s="103"/>
      <c r="K224" s="166"/>
      <c r="L224" s="101"/>
      <c r="M224" s="101"/>
      <c r="N224" s="191"/>
      <c r="O224" s="166"/>
      <c r="P224" s="167"/>
    </row>
    <row r="225" spans="1:16" ht="30" customHeight="1" x14ac:dyDescent="0.35">
      <c r="A225" s="73" t="s">
        <v>86</v>
      </c>
      <c r="B225" s="192">
        <f t="shared" si="9"/>
        <v>74152</v>
      </c>
      <c r="C225" s="136">
        <f t="shared" si="10"/>
        <v>34494</v>
      </c>
      <c r="D225" s="136">
        <v>27910</v>
      </c>
      <c r="E225" s="136">
        <v>6584</v>
      </c>
      <c r="F225" s="136">
        <f t="shared" si="11"/>
        <v>39658</v>
      </c>
      <c r="G225" s="100">
        <v>40</v>
      </c>
      <c r="H225" s="100">
        <v>22000</v>
      </c>
      <c r="I225" s="100">
        <v>17168</v>
      </c>
      <c r="J225" s="100"/>
      <c r="K225" s="100">
        <v>450</v>
      </c>
      <c r="L225" s="100"/>
      <c r="M225" s="100"/>
      <c r="N225" s="100"/>
      <c r="O225" s="160"/>
      <c r="P225" s="167"/>
    </row>
    <row r="226" spans="1:16" ht="20.25" customHeight="1" x14ac:dyDescent="0.35">
      <c r="A226" s="73" t="s">
        <v>130</v>
      </c>
      <c r="B226" s="192">
        <f t="shared" si="9"/>
        <v>28319</v>
      </c>
      <c r="C226" s="136">
        <f t="shared" si="10"/>
        <v>15313</v>
      </c>
      <c r="D226" s="136">
        <v>12390</v>
      </c>
      <c r="E226" s="136">
        <v>2923</v>
      </c>
      <c r="F226" s="136">
        <f t="shared" si="11"/>
        <v>12967</v>
      </c>
      <c r="G226" s="100"/>
      <c r="H226" s="100">
        <v>7345</v>
      </c>
      <c r="I226" s="100">
        <v>5160</v>
      </c>
      <c r="J226" s="100"/>
      <c r="K226" s="100">
        <v>462</v>
      </c>
      <c r="L226" s="100"/>
      <c r="M226" s="100"/>
      <c r="N226" s="100">
        <v>39</v>
      </c>
      <c r="O226" s="160"/>
      <c r="P226" s="167"/>
    </row>
    <row r="227" spans="1:16" ht="30" customHeight="1" x14ac:dyDescent="0.35">
      <c r="A227" s="73" t="s">
        <v>125</v>
      </c>
      <c r="B227" s="192">
        <f t="shared" si="9"/>
        <v>23340</v>
      </c>
      <c r="C227" s="136">
        <f t="shared" si="10"/>
        <v>12710</v>
      </c>
      <c r="D227" s="136">
        <v>10284</v>
      </c>
      <c r="E227" s="136">
        <v>2426</v>
      </c>
      <c r="F227" s="136">
        <f t="shared" si="11"/>
        <v>10400</v>
      </c>
      <c r="G227" s="100">
        <v>40</v>
      </c>
      <c r="H227" s="100">
        <v>5000</v>
      </c>
      <c r="I227" s="100">
        <v>4956</v>
      </c>
      <c r="J227" s="100"/>
      <c r="K227" s="100">
        <v>404</v>
      </c>
      <c r="L227" s="100"/>
      <c r="M227" s="100"/>
      <c r="N227" s="100">
        <v>230</v>
      </c>
      <c r="O227" s="160"/>
      <c r="P227" s="167"/>
    </row>
    <row r="228" spans="1:16" ht="19.5" customHeight="1" x14ac:dyDescent="0.35">
      <c r="A228" s="73" t="s">
        <v>127</v>
      </c>
      <c r="B228" s="192">
        <f t="shared" si="9"/>
        <v>50818</v>
      </c>
      <c r="C228" s="136">
        <f t="shared" si="10"/>
        <v>26502</v>
      </c>
      <c r="D228" s="136">
        <v>21432</v>
      </c>
      <c r="E228" s="136">
        <v>5070</v>
      </c>
      <c r="F228" s="136">
        <f t="shared" si="11"/>
        <v>24316</v>
      </c>
      <c r="G228" s="100">
        <v>80</v>
      </c>
      <c r="H228" s="100">
        <v>14036</v>
      </c>
      <c r="I228" s="100">
        <v>9700</v>
      </c>
      <c r="J228" s="100"/>
      <c r="K228" s="100">
        <v>500</v>
      </c>
      <c r="L228" s="100"/>
      <c r="M228" s="100"/>
      <c r="N228" s="100"/>
      <c r="O228" s="160"/>
      <c r="P228" s="167"/>
    </row>
    <row r="229" spans="1:16" ht="30" customHeight="1" x14ac:dyDescent="0.35">
      <c r="A229" s="132" t="s">
        <v>118</v>
      </c>
      <c r="B229" s="192">
        <f t="shared" si="9"/>
        <v>27789</v>
      </c>
      <c r="C229" s="136">
        <f t="shared" si="10"/>
        <v>13160</v>
      </c>
      <c r="D229" s="136">
        <v>10648</v>
      </c>
      <c r="E229" s="136">
        <v>2512</v>
      </c>
      <c r="F229" s="136">
        <f t="shared" si="11"/>
        <v>14629</v>
      </c>
      <c r="G229" s="100">
        <v>40</v>
      </c>
      <c r="H229" s="100">
        <v>3875</v>
      </c>
      <c r="I229" s="100">
        <v>10564</v>
      </c>
      <c r="J229" s="100"/>
      <c r="K229" s="100">
        <v>150</v>
      </c>
      <c r="L229" s="100"/>
      <c r="M229" s="100"/>
      <c r="N229" s="100"/>
      <c r="O229" s="160"/>
      <c r="P229" s="167"/>
    </row>
    <row r="230" spans="1:16" ht="30" customHeight="1" x14ac:dyDescent="0.35">
      <c r="A230" s="132" t="s">
        <v>35</v>
      </c>
      <c r="B230" s="192">
        <f t="shared" si="9"/>
        <v>15700</v>
      </c>
      <c r="C230" s="136">
        <f t="shared" si="10"/>
        <v>0</v>
      </c>
      <c r="D230" s="136"/>
      <c r="E230" s="136"/>
      <c r="F230" s="136">
        <f t="shared" si="11"/>
        <v>13500</v>
      </c>
      <c r="G230" s="100"/>
      <c r="H230" s="100">
        <v>13500</v>
      </c>
      <c r="I230" s="100"/>
      <c r="J230" s="100"/>
      <c r="K230" s="100"/>
      <c r="L230" s="100"/>
      <c r="M230" s="100"/>
      <c r="N230" s="100"/>
      <c r="O230" s="160">
        <v>2200</v>
      </c>
      <c r="P230" s="167"/>
    </row>
    <row r="231" spans="1:16" ht="37.5" customHeight="1" x14ac:dyDescent="0.35">
      <c r="A231" s="133" t="s">
        <v>59</v>
      </c>
      <c r="B231" s="192">
        <f t="shared" si="9"/>
        <v>150000</v>
      </c>
      <c r="C231" s="136">
        <f t="shared" si="10"/>
        <v>0</v>
      </c>
      <c r="D231" s="136"/>
      <c r="E231" s="136"/>
      <c r="F231" s="136">
        <f t="shared" si="11"/>
        <v>0</v>
      </c>
      <c r="G231" s="100"/>
      <c r="H231" s="100"/>
      <c r="I231" s="100"/>
      <c r="J231" s="100"/>
      <c r="K231" s="100"/>
      <c r="L231" s="100"/>
      <c r="M231" s="100"/>
      <c r="N231" s="100"/>
      <c r="O231" s="160"/>
      <c r="P231" s="167">
        <v>150000</v>
      </c>
    </row>
    <row r="232" spans="1:16" ht="35.25" customHeight="1" x14ac:dyDescent="0.35">
      <c r="A232" s="133" t="s">
        <v>678</v>
      </c>
      <c r="B232" s="192">
        <f t="shared" si="9"/>
        <v>6629</v>
      </c>
      <c r="C232" s="136">
        <f t="shared" si="10"/>
        <v>0</v>
      </c>
      <c r="D232" s="136"/>
      <c r="E232" s="136"/>
      <c r="F232" s="136">
        <f t="shared" si="11"/>
        <v>6629</v>
      </c>
      <c r="G232" s="100"/>
      <c r="H232" s="100"/>
      <c r="I232" s="100">
        <v>6629</v>
      </c>
      <c r="J232" s="100"/>
      <c r="K232" s="100"/>
      <c r="L232" s="100"/>
      <c r="M232" s="100"/>
      <c r="N232" s="100"/>
      <c r="O232" s="160"/>
      <c r="P232" s="167"/>
    </row>
    <row r="233" spans="1:16" ht="38.25" customHeight="1" x14ac:dyDescent="0.35">
      <c r="A233" s="133" t="s">
        <v>636</v>
      </c>
      <c r="B233" s="192">
        <f t="shared" si="9"/>
        <v>27260</v>
      </c>
      <c r="C233" s="136">
        <f t="shared" si="10"/>
        <v>8292</v>
      </c>
      <c r="D233" s="136">
        <v>6709</v>
      </c>
      <c r="E233" s="136">
        <v>1583</v>
      </c>
      <c r="F233" s="136">
        <f t="shared" si="11"/>
        <v>15291</v>
      </c>
      <c r="G233" s="100"/>
      <c r="H233" s="100">
        <v>5465</v>
      </c>
      <c r="I233" s="100">
        <v>9826</v>
      </c>
      <c r="J233" s="100"/>
      <c r="K233" s="100"/>
      <c r="L233" s="100"/>
      <c r="M233" s="100"/>
      <c r="N233" s="100">
        <v>3677</v>
      </c>
      <c r="O233" s="160"/>
      <c r="P233" s="167"/>
    </row>
    <row r="234" spans="1:16" ht="32.25" customHeight="1" x14ac:dyDescent="0.35">
      <c r="A234" s="132" t="s">
        <v>88</v>
      </c>
      <c r="B234" s="192">
        <f t="shared" si="9"/>
        <v>15304</v>
      </c>
      <c r="C234" s="136">
        <f t="shared" si="10"/>
        <v>0</v>
      </c>
      <c r="D234" s="136"/>
      <c r="E234" s="136"/>
      <c r="F234" s="136">
        <f t="shared" si="11"/>
        <v>15304</v>
      </c>
      <c r="G234" s="100"/>
      <c r="H234" s="100">
        <v>0</v>
      </c>
      <c r="I234" s="100">
        <v>15304</v>
      </c>
      <c r="J234" s="100"/>
      <c r="K234" s="100"/>
      <c r="L234" s="100"/>
      <c r="M234" s="158"/>
      <c r="N234" s="100"/>
      <c r="O234" s="160"/>
      <c r="P234" s="167"/>
    </row>
    <row r="235" spans="1:16" ht="52.95" customHeight="1" x14ac:dyDescent="0.35">
      <c r="A235" s="133" t="s">
        <v>677</v>
      </c>
      <c r="B235" s="192">
        <f t="shared" si="9"/>
        <v>7450</v>
      </c>
      <c r="C235" s="136">
        <f t="shared" si="10"/>
        <v>0</v>
      </c>
      <c r="D235" s="136"/>
      <c r="E235" s="136"/>
      <c r="F235" s="136">
        <f t="shared" si="11"/>
        <v>7450</v>
      </c>
      <c r="G235" s="100">
        <v>7450</v>
      </c>
      <c r="H235" s="100"/>
      <c r="I235" s="100"/>
      <c r="J235" s="100"/>
      <c r="K235" s="100"/>
      <c r="L235" s="100"/>
      <c r="M235" s="100"/>
      <c r="N235" s="100"/>
      <c r="O235" s="160"/>
      <c r="P235" s="167"/>
    </row>
    <row r="236" spans="1:16" ht="65.25" customHeight="1" x14ac:dyDescent="0.35">
      <c r="A236" s="133" t="s">
        <v>683</v>
      </c>
      <c r="B236" s="192">
        <f t="shared" si="9"/>
        <v>63246</v>
      </c>
      <c r="C236" s="136">
        <f t="shared" si="10"/>
        <v>0</v>
      </c>
      <c r="D236" s="136"/>
      <c r="E236" s="136"/>
      <c r="F236" s="136">
        <f t="shared" si="11"/>
        <v>63246</v>
      </c>
      <c r="G236" s="100">
        <v>63246</v>
      </c>
      <c r="H236" s="100"/>
      <c r="I236" s="100"/>
      <c r="J236" s="100"/>
      <c r="K236" s="100"/>
      <c r="L236" s="100"/>
      <c r="M236" s="100"/>
      <c r="N236" s="100"/>
      <c r="O236" s="160"/>
      <c r="P236" s="167"/>
    </row>
    <row r="237" spans="1:16" ht="53.25" customHeight="1" x14ac:dyDescent="0.35">
      <c r="A237" s="133" t="s">
        <v>684</v>
      </c>
      <c r="B237" s="192">
        <f t="shared" si="9"/>
        <v>10275</v>
      </c>
      <c r="C237" s="136">
        <f t="shared" si="10"/>
        <v>0</v>
      </c>
      <c r="D237" s="136"/>
      <c r="E237" s="136"/>
      <c r="F237" s="136">
        <f t="shared" si="11"/>
        <v>10275</v>
      </c>
      <c r="G237" s="100">
        <v>10275</v>
      </c>
      <c r="H237" s="100"/>
      <c r="I237" s="100"/>
      <c r="J237" s="100"/>
      <c r="K237" s="100"/>
      <c r="L237" s="100"/>
      <c r="M237" s="100"/>
      <c r="N237" s="100"/>
      <c r="O237" s="160"/>
      <c r="P237" s="167"/>
    </row>
    <row r="238" spans="1:16" ht="42.75" customHeight="1" x14ac:dyDescent="0.35">
      <c r="A238" s="133" t="s">
        <v>688</v>
      </c>
      <c r="B238" s="192">
        <f t="shared" si="9"/>
        <v>5710</v>
      </c>
      <c r="C238" s="136">
        <f t="shared" si="10"/>
        <v>0</v>
      </c>
      <c r="D238" s="136"/>
      <c r="E238" s="136"/>
      <c r="F238" s="136">
        <f t="shared" si="11"/>
        <v>5710</v>
      </c>
      <c r="G238" s="100">
        <v>5710</v>
      </c>
      <c r="H238" s="100"/>
      <c r="I238" s="100"/>
      <c r="J238" s="100"/>
      <c r="K238" s="100"/>
      <c r="L238" s="100"/>
      <c r="M238" s="100"/>
      <c r="N238" s="100"/>
      <c r="O238" s="160"/>
      <c r="P238" s="167"/>
    </row>
    <row r="239" spans="1:16" ht="33.75" customHeight="1" x14ac:dyDescent="0.35">
      <c r="A239" s="133" t="s">
        <v>596</v>
      </c>
      <c r="B239" s="192">
        <f t="shared" si="9"/>
        <v>77824</v>
      </c>
      <c r="C239" s="136">
        <f t="shared" si="10"/>
        <v>0</v>
      </c>
      <c r="D239" s="136"/>
      <c r="E239" s="136"/>
      <c r="F239" s="136">
        <f t="shared" si="11"/>
        <v>77824</v>
      </c>
      <c r="G239" s="100"/>
      <c r="H239" s="100">
        <v>77824</v>
      </c>
      <c r="I239" s="100"/>
      <c r="J239" s="100"/>
      <c r="K239" s="100"/>
      <c r="L239" s="100"/>
      <c r="M239" s="100"/>
      <c r="N239" s="100"/>
      <c r="O239" s="160"/>
      <c r="P239" s="167"/>
    </row>
    <row r="240" spans="1:16" ht="82.5" customHeight="1" x14ac:dyDescent="0.35">
      <c r="A240" s="133" t="s">
        <v>772</v>
      </c>
      <c r="B240" s="192">
        <f t="shared" si="9"/>
        <v>52600</v>
      </c>
      <c r="C240" s="136">
        <f t="shared" si="10"/>
        <v>0</v>
      </c>
      <c r="D240" s="136"/>
      <c r="E240" s="136"/>
      <c r="F240" s="136">
        <f t="shared" si="11"/>
        <v>0</v>
      </c>
      <c r="G240" s="100"/>
      <c r="H240" s="100"/>
      <c r="I240" s="100"/>
      <c r="J240" s="100"/>
      <c r="K240" s="100"/>
      <c r="L240" s="100">
        <v>52600</v>
      </c>
      <c r="M240" s="100"/>
      <c r="N240" s="100"/>
      <c r="O240" s="160"/>
      <c r="P240" s="167"/>
    </row>
    <row r="241" spans="1:16" ht="46.5" customHeight="1" x14ac:dyDescent="0.35">
      <c r="A241" s="133" t="s">
        <v>773</v>
      </c>
      <c r="B241" s="192">
        <f t="shared" si="9"/>
        <v>66919</v>
      </c>
      <c r="C241" s="136">
        <f t="shared" si="10"/>
        <v>0</v>
      </c>
      <c r="D241" s="136"/>
      <c r="E241" s="136"/>
      <c r="F241" s="136">
        <f t="shared" si="11"/>
        <v>0</v>
      </c>
      <c r="G241" s="100"/>
      <c r="H241" s="100"/>
      <c r="I241" s="100"/>
      <c r="J241" s="100"/>
      <c r="K241" s="100"/>
      <c r="L241" s="100"/>
      <c r="M241" s="100"/>
      <c r="N241" s="100">
        <v>66919</v>
      </c>
      <c r="O241" s="160"/>
      <c r="P241" s="167"/>
    </row>
    <row r="242" spans="1:16" ht="39" customHeight="1" x14ac:dyDescent="0.35">
      <c r="A242" s="133" t="s">
        <v>679</v>
      </c>
      <c r="B242" s="192">
        <f t="shared" si="9"/>
        <v>86625</v>
      </c>
      <c r="C242" s="136">
        <f t="shared" si="10"/>
        <v>50172</v>
      </c>
      <c r="D242" s="136">
        <v>41172</v>
      </c>
      <c r="E242" s="136">
        <v>9000</v>
      </c>
      <c r="F242" s="136">
        <f t="shared" si="11"/>
        <v>17207</v>
      </c>
      <c r="G242" s="100"/>
      <c r="H242" s="100">
        <v>14707</v>
      </c>
      <c r="I242" s="100">
        <v>2500</v>
      </c>
      <c r="J242" s="100"/>
      <c r="K242" s="100"/>
      <c r="L242" s="100"/>
      <c r="M242" s="100"/>
      <c r="N242" s="100">
        <v>19246</v>
      </c>
      <c r="O242" s="160"/>
      <c r="P242" s="167"/>
    </row>
    <row r="243" spans="1:16" ht="18.600000000000001" customHeight="1" x14ac:dyDescent="0.35">
      <c r="A243" s="132" t="s">
        <v>37</v>
      </c>
      <c r="B243" s="192">
        <f t="shared" si="9"/>
        <v>251064</v>
      </c>
      <c r="C243" s="136">
        <f t="shared" si="10"/>
        <v>228394</v>
      </c>
      <c r="D243" s="136">
        <v>184800</v>
      </c>
      <c r="E243" s="136">
        <v>43594</v>
      </c>
      <c r="F243" s="136">
        <f t="shared" si="11"/>
        <v>22670</v>
      </c>
      <c r="G243" s="100">
        <v>350</v>
      </c>
      <c r="H243" s="100">
        <v>12220</v>
      </c>
      <c r="I243" s="100">
        <v>10100</v>
      </c>
      <c r="J243" s="100"/>
      <c r="K243" s="100"/>
      <c r="L243" s="100"/>
      <c r="M243" s="100"/>
      <c r="N243" s="100"/>
      <c r="O243" s="160"/>
      <c r="P243" s="167"/>
    </row>
    <row r="244" spans="1:16" ht="22.95" customHeight="1" x14ac:dyDescent="0.35">
      <c r="A244" s="132" t="s">
        <v>102</v>
      </c>
      <c r="B244" s="192">
        <f t="shared" si="9"/>
        <v>689492</v>
      </c>
      <c r="C244" s="136">
        <f t="shared" si="10"/>
        <v>603017</v>
      </c>
      <c r="D244" s="136">
        <v>480543</v>
      </c>
      <c r="E244" s="136">
        <v>122474</v>
      </c>
      <c r="F244" s="136">
        <f t="shared" si="11"/>
        <v>51567</v>
      </c>
      <c r="G244" s="100">
        <v>350</v>
      </c>
      <c r="H244" s="100">
        <v>33414</v>
      </c>
      <c r="I244" s="100">
        <v>17413</v>
      </c>
      <c r="J244" s="100"/>
      <c r="K244" s="100">
        <v>390</v>
      </c>
      <c r="L244" s="100"/>
      <c r="M244" s="100"/>
      <c r="N244" s="100">
        <v>31908</v>
      </c>
      <c r="O244" s="160">
        <v>3000</v>
      </c>
      <c r="P244" s="167"/>
    </row>
    <row r="245" spans="1:16" ht="18" customHeight="1" x14ac:dyDescent="0.35">
      <c r="A245" s="132" t="s">
        <v>148</v>
      </c>
      <c r="B245" s="192">
        <f t="shared" si="9"/>
        <v>1398894</v>
      </c>
      <c r="C245" s="136">
        <f t="shared" si="10"/>
        <v>0</v>
      </c>
      <c r="D245" s="136"/>
      <c r="E245" s="136"/>
      <c r="F245" s="136">
        <f t="shared" si="11"/>
        <v>0</v>
      </c>
      <c r="G245" s="100"/>
      <c r="H245" s="100"/>
      <c r="I245" s="100"/>
      <c r="J245" s="100"/>
      <c r="K245" s="100"/>
      <c r="L245" s="100"/>
      <c r="M245" s="100"/>
      <c r="N245" s="100"/>
      <c r="O245" s="160">
        <v>1398894</v>
      </c>
      <c r="P245" s="167"/>
    </row>
    <row r="246" spans="1:16" ht="21" customHeight="1" x14ac:dyDescent="0.35">
      <c r="A246" s="132" t="s">
        <v>99</v>
      </c>
      <c r="B246" s="192">
        <f t="shared" si="9"/>
        <v>19120</v>
      </c>
      <c r="C246" s="136">
        <f t="shared" si="10"/>
        <v>0</v>
      </c>
      <c r="D246" s="136"/>
      <c r="E246" s="136"/>
      <c r="F246" s="136">
        <f t="shared" si="11"/>
        <v>0</v>
      </c>
      <c r="G246" s="100"/>
      <c r="H246" s="100"/>
      <c r="I246" s="100"/>
      <c r="J246" s="100"/>
      <c r="K246" s="100"/>
      <c r="L246" s="100"/>
      <c r="M246" s="100"/>
      <c r="N246" s="100"/>
      <c r="O246" s="160">
        <v>19120</v>
      </c>
      <c r="P246" s="167"/>
    </row>
    <row r="247" spans="1:16" ht="19.95" customHeight="1" x14ac:dyDescent="0.35">
      <c r="A247" s="132" t="s">
        <v>38</v>
      </c>
      <c r="B247" s="192">
        <f t="shared" si="9"/>
        <v>21627</v>
      </c>
      <c r="C247" s="136">
        <f t="shared" si="10"/>
        <v>0</v>
      </c>
      <c r="D247" s="136"/>
      <c r="E247" s="136"/>
      <c r="F247" s="136">
        <f t="shared" si="11"/>
        <v>21627</v>
      </c>
      <c r="G247" s="100"/>
      <c r="H247" s="100">
        <v>18807</v>
      </c>
      <c r="I247" s="100">
        <v>2820</v>
      </c>
      <c r="J247" s="100"/>
      <c r="K247" s="100"/>
      <c r="L247" s="100"/>
      <c r="M247" s="100"/>
      <c r="N247" s="100"/>
      <c r="O247" s="160"/>
      <c r="P247" s="167"/>
    </row>
    <row r="248" spans="1:16" ht="24" customHeight="1" x14ac:dyDescent="0.35">
      <c r="A248" s="132" t="s">
        <v>44</v>
      </c>
      <c r="B248" s="192">
        <f t="shared" si="9"/>
        <v>331015</v>
      </c>
      <c r="C248" s="136">
        <f t="shared" si="10"/>
        <v>97008</v>
      </c>
      <c r="D248" s="136">
        <v>78519</v>
      </c>
      <c r="E248" s="136">
        <v>18489</v>
      </c>
      <c r="F248" s="136">
        <f t="shared" si="11"/>
        <v>39608</v>
      </c>
      <c r="G248" s="100"/>
      <c r="H248" s="100">
        <v>38568</v>
      </c>
      <c r="I248" s="100">
        <v>1040</v>
      </c>
      <c r="J248" s="100"/>
      <c r="K248" s="100"/>
      <c r="L248" s="100"/>
      <c r="M248" s="100"/>
      <c r="N248" s="100">
        <v>7777</v>
      </c>
      <c r="O248" s="160">
        <v>186622</v>
      </c>
      <c r="P248" s="167"/>
    </row>
    <row r="249" spans="1:16" ht="23.4" customHeight="1" x14ac:dyDescent="0.35">
      <c r="A249" s="132" t="s">
        <v>36</v>
      </c>
      <c r="B249" s="192">
        <f t="shared" si="9"/>
        <v>1954878</v>
      </c>
      <c r="C249" s="136">
        <f t="shared" si="10"/>
        <v>1145923</v>
      </c>
      <c r="D249" s="136">
        <v>916143</v>
      </c>
      <c r="E249" s="136">
        <v>229780</v>
      </c>
      <c r="F249" s="136">
        <f t="shared" si="11"/>
        <v>805255</v>
      </c>
      <c r="G249" s="100">
        <v>500</v>
      </c>
      <c r="H249" s="100">
        <v>100249</v>
      </c>
      <c r="I249" s="100">
        <v>703506</v>
      </c>
      <c r="J249" s="100"/>
      <c r="K249" s="100">
        <v>1000</v>
      </c>
      <c r="L249" s="100"/>
      <c r="M249" s="100"/>
      <c r="N249" s="100"/>
      <c r="O249" s="160">
        <v>3700</v>
      </c>
      <c r="P249" s="167"/>
    </row>
    <row r="250" spans="1:16" ht="24" customHeight="1" x14ac:dyDescent="0.35">
      <c r="A250" s="132" t="s">
        <v>69</v>
      </c>
      <c r="B250" s="192">
        <f t="shared" si="9"/>
        <v>359898</v>
      </c>
      <c r="C250" s="136">
        <f t="shared" si="10"/>
        <v>242571</v>
      </c>
      <c r="D250" s="136">
        <v>196184</v>
      </c>
      <c r="E250" s="136">
        <v>46387</v>
      </c>
      <c r="F250" s="136">
        <f t="shared" si="11"/>
        <v>117327</v>
      </c>
      <c r="G250" s="100">
        <v>280</v>
      </c>
      <c r="H250" s="100">
        <v>16590</v>
      </c>
      <c r="I250" s="100">
        <v>100107</v>
      </c>
      <c r="J250" s="100"/>
      <c r="K250" s="100">
        <v>350</v>
      </c>
      <c r="L250" s="100"/>
      <c r="M250" s="100"/>
      <c r="N250" s="100"/>
      <c r="O250" s="160"/>
      <c r="P250" s="167"/>
    </row>
    <row r="251" spans="1:16" ht="23.4" customHeight="1" x14ac:dyDescent="0.35">
      <c r="A251" s="133" t="s">
        <v>71</v>
      </c>
      <c r="B251" s="192">
        <f t="shared" si="9"/>
        <v>258985</v>
      </c>
      <c r="C251" s="136">
        <f t="shared" si="10"/>
        <v>165028</v>
      </c>
      <c r="D251" s="136">
        <v>129540</v>
      </c>
      <c r="E251" s="136">
        <v>35488</v>
      </c>
      <c r="F251" s="136">
        <f t="shared" si="11"/>
        <v>86057</v>
      </c>
      <c r="G251" s="100">
        <v>138</v>
      </c>
      <c r="H251" s="100">
        <f>24459+3000</f>
        <v>27459</v>
      </c>
      <c r="I251" s="100">
        <v>58460</v>
      </c>
      <c r="J251" s="100"/>
      <c r="K251" s="100"/>
      <c r="L251" s="100"/>
      <c r="M251" s="100"/>
      <c r="N251" s="100">
        <v>7900</v>
      </c>
      <c r="O251" s="160"/>
      <c r="P251" s="167"/>
    </row>
    <row r="252" spans="1:16" ht="22.95" customHeight="1" x14ac:dyDescent="0.35">
      <c r="A252" s="133" t="s">
        <v>70</v>
      </c>
      <c r="B252" s="192">
        <f t="shared" si="9"/>
        <v>355357</v>
      </c>
      <c r="C252" s="136">
        <f t="shared" si="10"/>
        <v>253689</v>
      </c>
      <c r="D252" s="136">
        <v>196222</v>
      </c>
      <c r="E252" s="136">
        <v>57467</v>
      </c>
      <c r="F252" s="136">
        <f t="shared" si="11"/>
        <v>98560</v>
      </c>
      <c r="G252" s="100">
        <v>138</v>
      </c>
      <c r="H252" s="100">
        <v>27615</v>
      </c>
      <c r="I252" s="100">
        <v>70319</v>
      </c>
      <c r="J252" s="100"/>
      <c r="K252" s="100">
        <v>488</v>
      </c>
      <c r="L252" s="100"/>
      <c r="M252" s="100"/>
      <c r="N252" s="100">
        <v>3108</v>
      </c>
      <c r="O252" s="160"/>
      <c r="P252" s="167"/>
    </row>
    <row r="253" spans="1:16" ht="30" customHeight="1" x14ac:dyDescent="0.35">
      <c r="A253" s="133" t="s">
        <v>62</v>
      </c>
      <c r="B253" s="192">
        <f t="shared" si="9"/>
        <v>272274</v>
      </c>
      <c r="C253" s="136">
        <f t="shared" si="10"/>
        <v>234441</v>
      </c>
      <c r="D253" s="136">
        <v>189105</v>
      </c>
      <c r="E253" s="136">
        <v>45336</v>
      </c>
      <c r="F253" s="136">
        <f t="shared" si="11"/>
        <v>36633</v>
      </c>
      <c r="G253" s="100">
        <v>120</v>
      </c>
      <c r="H253" s="100">
        <v>28381</v>
      </c>
      <c r="I253" s="100">
        <v>8078</v>
      </c>
      <c r="J253" s="100"/>
      <c r="K253" s="160">
        <v>54</v>
      </c>
      <c r="L253" s="100"/>
      <c r="M253" s="101"/>
      <c r="N253" s="171">
        <v>1200</v>
      </c>
      <c r="O253" s="160"/>
      <c r="P253" s="167"/>
    </row>
    <row r="254" spans="1:16" ht="30" customHeight="1" x14ac:dyDescent="0.35">
      <c r="A254" s="188" t="s">
        <v>103</v>
      </c>
      <c r="B254" s="192">
        <f t="shared" si="9"/>
        <v>71906</v>
      </c>
      <c r="C254" s="136">
        <f t="shared" si="10"/>
        <v>61966</v>
      </c>
      <c r="D254" s="142">
        <v>49376</v>
      </c>
      <c r="E254" s="142">
        <v>12590</v>
      </c>
      <c r="F254" s="136">
        <f t="shared" si="11"/>
        <v>9940</v>
      </c>
      <c r="G254" s="106">
        <v>100</v>
      </c>
      <c r="H254" s="106">
        <v>2723</v>
      </c>
      <c r="I254" s="106">
        <v>7117</v>
      </c>
      <c r="J254" s="106"/>
      <c r="K254" s="165"/>
      <c r="L254" s="101"/>
      <c r="M254" s="100"/>
      <c r="N254" s="172"/>
      <c r="O254" s="165"/>
      <c r="P254" s="167"/>
    </row>
    <row r="255" spans="1:16" ht="30" customHeight="1" x14ac:dyDescent="0.35">
      <c r="A255" s="132" t="s">
        <v>104</v>
      </c>
      <c r="B255" s="192">
        <f t="shared" si="9"/>
        <v>148922</v>
      </c>
      <c r="C255" s="136">
        <f t="shared" si="10"/>
        <v>132620</v>
      </c>
      <c r="D255" s="136">
        <v>106845</v>
      </c>
      <c r="E255" s="136">
        <v>25775</v>
      </c>
      <c r="F255" s="136">
        <f t="shared" si="11"/>
        <v>16302</v>
      </c>
      <c r="G255" s="100"/>
      <c r="H255" s="100">
        <v>6373</v>
      </c>
      <c r="I255" s="100">
        <v>9929</v>
      </c>
      <c r="J255" s="100"/>
      <c r="K255" s="160"/>
      <c r="L255" s="100"/>
      <c r="M255" s="101"/>
      <c r="N255" s="171"/>
      <c r="O255" s="160"/>
      <c r="P255" s="167"/>
    </row>
    <row r="256" spans="1:16" ht="30" customHeight="1" x14ac:dyDescent="0.35">
      <c r="A256" s="132" t="s">
        <v>210</v>
      </c>
      <c r="B256" s="192">
        <f t="shared" si="9"/>
        <v>778685</v>
      </c>
      <c r="C256" s="136">
        <f t="shared" si="10"/>
        <v>726476</v>
      </c>
      <c r="D256" s="136">
        <v>587593</v>
      </c>
      <c r="E256" s="136">
        <v>138883</v>
      </c>
      <c r="F256" s="136">
        <f t="shared" si="11"/>
        <v>40738</v>
      </c>
      <c r="G256" s="100"/>
      <c r="H256" s="100">
        <v>16008</v>
      </c>
      <c r="I256" s="100">
        <v>24730</v>
      </c>
      <c r="J256" s="100"/>
      <c r="K256" s="100"/>
      <c r="L256" s="100"/>
      <c r="M256" s="100"/>
      <c r="N256" s="100">
        <v>11471</v>
      </c>
      <c r="O256" s="160"/>
      <c r="P256" s="167"/>
    </row>
    <row r="257" spans="1:16" ht="30" customHeight="1" x14ac:dyDescent="0.35">
      <c r="A257" s="132" t="s">
        <v>659</v>
      </c>
      <c r="B257" s="192">
        <f t="shared" si="9"/>
        <v>18734</v>
      </c>
      <c r="C257" s="136">
        <f t="shared" si="10"/>
        <v>0</v>
      </c>
      <c r="D257" s="136"/>
      <c r="E257" s="136"/>
      <c r="F257" s="136">
        <f t="shared" si="11"/>
        <v>18734</v>
      </c>
      <c r="G257" s="100"/>
      <c r="H257" s="100">
        <v>18734</v>
      </c>
      <c r="I257" s="100"/>
      <c r="J257" s="100"/>
      <c r="K257" s="100"/>
      <c r="L257" s="100"/>
      <c r="M257" s="100"/>
      <c r="N257" s="100"/>
      <c r="O257" s="160"/>
      <c r="P257" s="167"/>
    </row>
    <row r="258" spans="1:16" ht="25.95" customHeight="1" x14ac:dyDescent="0.35">
      <c r="A258" s="133" t="s">
        <v>143</v>
      </c>
      <c r="B258" s="192">
        <f t="shared" si="9"/>
        <v>1000</v>
      </c>
      <c r="C258" s="136">
        <f t="shared" si="10"/>
        <v>0</v>
      </c>
      <c r="D258" s="136"/>
      <c r="E258" s="136"/>
      <c r="F258" s="136">
        <f t="shared" si="11"/>
        <v>0</v>
      </c>
      <c r="G258" s="100"/>
      <c r="H258" s="100"/>
      <c r="I258" s="100"/>
      <c r="J258" s="100"/>
      <c r="K258" s="100"/>
      <c r="L258" s="100">
        <v>1000</v>
      </c>
      <c r="M258" s="100"/>
      <c r="N258" s="100"/>
      <c r="O258" s="160"/>
      <c r="P258" s="167"/>
    </row>
    <row r="259" spans="1:16" ht="24" customHeight="1" x14ac:dyDescent="0.35">
      <c r="A259" s="133" t="s">
        <v>144</v>
      </c>
      <c r="B259" s="192">
        <f t="shared" si="9"/>
        <v>1000</v>
      </c>
      <c r="C259" s="136">
        <f t="shared" si="10"/>
        <v>0</v>
      </c>
      <c r="D259" s="136"/>
      <c r="E259" s="136"/>
      <c r="F259" s="136">
        <f t="shared" si="11"/>
        <v>0</v>
      </c>
      <c r="G259" s="100"/>
      <c r="H259" s="100"/>
      <c r="I259" s="100"/>
      <c r="J259" s="100"/>
      <c r="K259" s="100"/>
      <c r="L259" s="100">
        <v>1000</v>
      </c>
      <c r="M259" s="100"/>
      <c r="N259" s="100"/>
      <c r="O259" s="160"/>
      <c r="P259" s="167"/>
    </row>
    <row r="260" spans="1:16" ht="28.95" customHeight="1" x14ac:dyDescent="0.35">
      <c r="A260" s="133" t="s">
        <v>522</v>
      </c>
      <c r="B260" s="192">
        <f t="shared" si="9"/>
        <v>150</v>
      </c>
      <c r="C260" s="136">
        <f t="shared" si="10"/>
        <v>0</v>
      </c>
      <c r="D260" s="136"/>
      <c r="E260" s="136"/>
      <c r="F260" s="136">
        <f t="shared" si="11"/>
        <v>0</v>
      </c>
      <c r="G260" s="100"/>
      <c r="H260" s="100"/>
      <c r="I260" s="100"/>
      <c r="J260" s="100"/>
      <c r="K260" s="100"/>
      <c r="L260" s="100">
        <v>150</v>
      </c>
      <c r="M260" s="100"/>
      <c r="N260" s="100"/>
      <c r="O260" s="160"/>
      <c r="P260" s="167"/>
    </row>
    <row r="261" spans="1:16" ht="28.95" customHeight="1" x14ac:dyDescent="0.35">
      <c r="A261" s="133" t="s">
        <v>599</v>
      </c>
      <c r="B261" s="192">
        <f t="shared" si="9"/>
        <v>1000</v>
      </c>
      <c r="C261" s="136">
        <f t="shared" si="10"/>
        <v>0</v>
      </c>
      <c r="D261" s="136"/>
      <c r="E261" s="136"/>
      <c r="F261" s="136">
        <f t="shared" si="11"/>
        <v>0</v>
      </c>
      <c r="G261" s="100"/>
      <c r="H261" s="100"/>
      <c r="I261" s="100"/>
      <c r="J261" s="100"/>
      <c r="K261" s="100"/>
      <c r="L261" s="100">
        <v>1000</v>
      </c>
      <c r="M261" s="100"/>
      <c r="N261" s="100"/>
      <c r="O261" s="160"/>
      <c r="P261" s="167"/>
    </row>
    <row r="262" spans="1:16" ht="28.95" customHeight="1" x14ac:dyDescent="0.35">
      <c r="A262" s="133" t="s">
        <v>700</v>
      </c>
      <c r="B262" s="192">
        <f t="shared" si="9"/>
        <v>5000</v>
      </c>
      <c r="C262" s="136"/>
      <c r="D262" s="136"/>
      <c r="E262" s="136"/>
      <c r="F262" s="136"/>
      <c r="G262" s="100"/>
      <c r="H262" s="100"/>
      <c r="I262" s="100"/>
      <c r="J262" s="100"/>
      <c r="K262" s="100"/>
      <c r="L262" s="100">
        <v>5000</v>
      </c>
      <c r="M262" s="100"/>
      <c r="N262" s="100"/>
      <c r="O262" s="160"/>
      <c r="P262" s="167"/>
    </row>
    <row r="263" spans="1:16" ht="32.4" customHeight="1" x14ac:dyDescent="0.35">
      <c r="A263" s="189" t="s">
        <v>473</v>
      </c>
      <c r="B263" s="192">
        <f t="shared" si="9"/>
        <v>15800</v>
      </c>
      <c r="C263" s="136">
        <f t="shared" si="10"/>
        <v>0</v>
      </c>
      <c r="D263" s="136"/>
      <c r="E263" s="136"/>
      <c r="F263" s="136">
        <f t="shared" si="11"/>
        <v>15800</v>
      </c>
      <c r="G263" s="100"/>
      <c r="H263" s="100">
        <v>15800</v>
      </c>
      <c r="I263" s="100"/>
      <c r="J263" s="100"/>
      <c r="K263" s="100"/>
      <c r="L263" s="100"/>
      <c r="M263" s="100"/>
      <c r="N263" s="100"/>
      <c r="O263" s="160"/>
      <c r="P263" s="167"/>
    </row>
    <row r="264" spans="1:16" ht="23.25" customHeight="1" x14ac:dyDescent="0.35">
      <c r="A264" s="133" t="s">
        <v>101</v>
      </c>
      <c r="B264" s="192">
        <f t="shared" si="9"/>
        <v>100000</v>
      </c>
      <c r="C264" s="136">
        <f t="shared" si="10"/>
        <v>0</v>
      </c>
      <c r="D264" s="136"/>
      <c r="E264" s="136"/>
      <c r="F264" s="136">
        <f t="shared" si="11"/>
        <v>0</v>
      </c>
      <c r="G264" s="100"/>
      <c r="H264" s="100"/>
      <c r="I264" s="100"/>
      <c r="J264" s="100"/>
      <c r="K264" s="100"/>
      <c r="L264" s="100"/>
      <c r="M264" s="100"/>
      <c r="N264" s="100">
        <v>100000</v>
      </c>
      <c r="O264" s="160"/>
      <c r="P264" s="167"/>
    </row>
    <row r="265" spans="1:16" ht="23.25" customHeight="1" x14ac:dyDescent="0.35">
      <c r="A265" s="133" t="s">
        <v>588</v>
      </c>
      <c r="B265" s="192">
        <f t="shared" si="9"/>
        <v>129954</v>
      </c>
      <c r="C265" s="136">
        <f t="shared" si="10"/>
        <v>0</v>
      </c>
      <c r="D265" s="136"/>
      <c r="E265" s="136"/>
      <c r="F265" s="136">
        <f t="shared" si="11"/>
        <v>0</v>
      </c>
      <c r="G265" s="100"/>
      <c r="H265" s="100"/>
      <c r="I265" s="100"/>
      <c r="J265" s="100"/>
      <c r="K265" s="100"/>
      <c r="L265" s="100"/>
      <c r="M265" s="100"/>
      <c r="N265" s="100">
        <v>129954</v>
      </c>
      <c r="O265" s="160"/>
      <c r="P265" s="167"/>
    </row>
    <row r="266" spans="1:16" ht="21.75" customHeight="1" x14ac:dyDescent="0.35">
      <c r="A266" s="133" t="s">
        <v>489</v>
      </c>
      <c r="B266" s="192">
        <f t="shared" si="9"/>
        <v>60000</v>
      </c>
      <c r="C266" s="136">
        <f t="shared" si="10"/>
        <v>0</v>
      </c>
      <c r="D266" s="136"/>
      <c r="E266" s="136"/>
      <c r="F266" s="136">
        <f t="shared" si="11"/>
        <v>0</v>
      </c>
      <c r="G266" s="100"/>
      <c r="H266" s="100"/>
      <c r="I266" s="100"/>
      <c r="J266" s="100"/>
      <c r="K266" s="100"/>
      <c r="L266" s="100"/>
      <c r="M266" s="100"/>
      <c r="N266" s="100">
        <v>60000</v>
      </c>
      <c r="O266" s="160"/>
      <c r="P266" s="167"/>
    </row>
    <row r="267" spans="1:16" ht="33.75" customHeight="1" x14ac:dyDescent="0.35">
      <c r="A267" s="133" t="s">
        <v>601</v>
      </c>
      <c r="B267" s="192">
        <f t="shared" si="9"/>
        <v>3000</v>
      </c>
      <c r="C267" s="136">
        <f t="shared" si="10"/>
        <v>0</v>
      </c>
      <c r="D267" s="136"/>
      <c r="E267" s="136"/>
      <c r="F267" s="136">
        <f t="shared" si="11"/>
        <v>3000</v>
      </c>
      <c r="G267" s="100"/>
      <c r="H267" s="100">
        <v>3000</v>
      </c>
      <c r="I267" s="100"/>
      <c r="J267" s="100"/>
      <c r="K267" s="100"/>
      <c r="L267" s="100"/>
      <c r="M267" s="100"/>
      <c r="N267" s="100"/>
      <c r="O267" s="160"/>
      <c r="P267" s="167"/>
    </row>
    <row r="268" spans="1:16" ht="37.950000000000003" customHeight="1" x14ac:dyDescent="0.35">
      <c r="A268" s="133" t="s">
        <v>728</v>
      </c>
      <c r="B268" s="192">
        <f t="shared" si="9"/>
        <v>12000</v>
      </c>
      <c r="C268" s="136">
        <f t="shared" si="10"/>
        <v>0</v>
      </c>
      <c r="D268" s="136"/>
      <c r="E268" s="136"/>
      <c r="F268" s="136">
        <f t="shared" si="11"/>
        <v>0</v>
      </c>
      <c r="G268" s="100"/>
      <c r="H268" s="100"/>
      <c r="I268" s="100"/>
      <c r="J268" s="100"/>
      <c r="K268" s="100"/>
      <c r="L268" s="100">
        <v>12000</v>
      </c>
      <c r="M268" s="100"/>
      <c r="N268" s="100"/>
      <c r="O268" s="160"/>
      <c r="P268" s="167"/>
    </row>
    <row r="269" spans="1:16" ht="63" customHeight="1" x14ac:dyDescent="0.35">
      <c r="A269" s="133" t="s">
        <v>671</v>
      </c>
      <c r="B269" s="192">
        <f t="shared" si="9"/>
        <v>786532</v>
      </c>
      <c r="C269" s="136">
        <f t="shared" si="10"/>
        <v>0</v>
      </c>
      <c r="D269" s="136"/>
      <c r="E269" s="136"/>
      <c r="F269" s="136">
        <f t="shared" si="11"/>
        <v>0</v>
      </c>
      <c r="G269" s="100"/>
      <c r="H269" s="100"/>
      <c r="I269" s="100"/>
      <c r="J269" s="100"/>
      <c r="K269" s="100"/>
      <c r="L269" s="100"/>
      <c r="M269" s="100"/>
      <c r="N269" s="100">
        <v>786532</v>
      </c>
      <c r="O269" s="160"/>
      <c r="P269" s="167"/>
    </row>
    <row r="270" spans="1:16" ht="29.25" customHeight="1" x14ac:dyDescent="0.35">
      <c r="A270" s="133" t="s">
        <v>774</v>
      </c>
      <c r="B270" s="192">
        <f t="shared" si="9"/>
        <v>30793</v>
      </c>
      <c r="C270" s="136">
        <f t="shared" si="10"/>
        <v>30793</v>
      </c>
      <c r="D270" s="136">
        <v>24915</v>
      </c>
      <c r="E270" s="136">
        <v>5878</v>
      </c>
      <c r="F270" s="136">
        <f t="shared" si="11"/>
        <v>0</v>
      </c>
      <c r="G270" s="100"/>
      <c r="H270" s="100"/>
      <c r="I270" s="100"/>
      <c r="J270" s="100"/>
      <c r="K270" s="100"/>
      <c r="L270" s="100"/>
      <c r="M270" s="100"/>
      <c r="N270" s="100"/>
      <c r="O270" s="160"/>
      <c r="P270" s="167"/>
    </row>
    <row r="271" spans="1:16" ht="53.25" customHeight="1" x14ac:dyDescent="0.35">
      <c r="A271" s="133" t="s">
        <v>682</v>
      </c>
      <c r="B271" s="192">
        <f t="shared" si="9"/>
        <v>74878</v>
      </c>
      <c r="C271" s="136">
        <f t="shared" si="10"/>
        <v>0</v>
      </c>
      <c r="D271" s="136"/>
      <c r="E271" s="136"/>
      <c r="F271" s="136">
        <f t="shared" si="11"/>
        <v>74878</v>
      </c>
      <c r="G271" s="100"/>
      <c r="H271" s="100">
        <v>69878</v>
      </c>
      <c r="I271" s="100">
        <v>5000</v>
      </c>
      <c r="J271" s="100"/>
      <c r="K271" s="100"/>
      <c r="L271" s="100"/>
      <c r="M271" s="100"/>
      <c r="N271" s="100"/>
      <c r="O271" s="160"/>
      <c r="P271" s="167"/>
    </row>
    <row r="272" spans="1:16" ht="69" customHeight="1" x14ac:dyDescent="0.35">
      <c r="A272" s="133" t="s">
        <v>664</v>
      </c>
      <c r="B272" s="192">
        <f t="shared" si="9"/>
        <v>53174</v>
      </c>
      <c r="C272" s="136">
        <f t="shared" si="10"/>
        <v>0</v>
      </c>
      <c r="D272" s="136"/>
      <c r="E272" s="136"/>
      <c r="F272" s="136">
        <f t="shared" si="11"/>
        <v>0</v>
      </c>
      <c r="G272" s="100"/>
      <c r="H272" s="100"/>
      <c r="I272" s="100"/>
      <c r="J272" s="100"/>
      <c r="K272" s="100"/>
      <c r="L272" s="100"/>
      <c r="M272" s="100"/>
      <c r="N272" s="100">
        <v>53174</v>
      </c>
      <c r="O272" s="160"/>
      <c r="P272" s="167"/>
    </row>
    <row r="273" spans="1:16" ht="72" customHeight="1" x14ac:dyDescent="0.35">
      <c r="A273" s="133" t="s">
        <v>665</v>
      </c>
      <c r="B273" s="192">
        <f t="shared" ref="B273:B292" si="12">SUM(C273+F273,L273,M273,N273,O273,P273)</f>
        <v>62867</v>
      </c>
      <c r="C273" s="136">
        <f t="shared" ref="C273:C292" si="13">D273+E273</f>
        <v>0</v>
      </c>
      <c r="D273" s="136"/>
      <c r="E273" s="136"/>
      <c r="F273" s="136">
        <f t="shared" ref="F273:F292" si="14">SUM(G273,H273,I273,J273,K273)</f>
        <v>0</v>
      </c>
      <c r="G273" s="100"/>
      <c r="H273" s="100"/>
      <c r="I273" s="100"/>
      <c r="J273" s="100"/>
      <c r="K273" s="100"/>
      <c r="L273" s="100"/>
      <c r="M273" s="100"/>
      <c r="N273" s="100">
        <v>62867</v>
      </c>
      <c r="O273" s="160"/>
      <c r="P273" s="167"/>
    </row>
    <row r="274" spans="1:16" ht="66" customHeight="1" x14ac:dyDescent="0.35">
      <c r="A274" s="133" t="s">
        <v>666</v>
      </c>
      <c r="B274" s="192">
        <f t="shared" si="12"/>
        <v>40620</v>
      </c>
      <c r="C274" s="136">
        <f t="shared" si="13"/>
        <v>0</v>
      </c>
      <c r="D274" s="136"/>
      <c r="E274" s="136"/>
      <c r="F274" s="136">
        <f t="shared" si="14"/>
        <v>0</v>
      </c>
      <c r="G274" s="100"/>
      <c r="H274" s="100"/>
      <c r="I274" s="100"/>
      <c r="J274" s="100"/>
      <c r="K274" s="100"/>
      <c r="L274" s="100"/>
      <c r="M274" s="100"/>
      <c r="N274" s="100">
        <v>40620</v>
      </c>
      <c r="O274" s="160"/>
      <c r="P274" s="167"/>
    </row>
    <row r="275" spans="1:16" ht="66" customHeight="1" x14ac:dyDescent="0.35">
      <c r="A275" s="133" t="s">
        <v>667</v>
      </c>
      <c r="B275" s="192">
        <f t="shared" si="12"/>
        <v>50659</v>
      </c>
      <c r="C275" s="136">
        <f t="shared" si="13"/>
        <v>0</v>
      </c>
      <c r="D275" s="136"/>
      <c r="E275" s="136"/>
      <c r="F275" s="136">
        <f t="shared" si="14"/>
        <v>0</v>
      </c>
      <c r="G275" s="100"/>
      <c r="H275" s="100"/>
      <c r="I275" s="100"/>
      <c r="J275" s="100"/>
      <c r="K275" s="100"/>
      <c r="L275" s="100"/>
      <c r="M275" s="100"/>
      <c r="N275" s="100">
        <v>50659</v>
      </c>
      <c r="O275" s="160"/>
      <c r="P275" s="167"/>
    </row>
    <row r="276" spans="1:16" ht="27" customHeight="1" x14ac:dyDescent="0.35">
      <c r="A276" s="133" t="s">
        <v>670</v>
      </c>
      <c r="B276" s="192">
        <f t="shared" si="12"/>
        <v>100000</v>
      </c>
      <c r="C276" s="136">
        <f t="shared" si="13"/>
        <v>0</v>
      </c>
      <c r="D276" s="136"/>
      <c r="E276" s="136"/>
      <c r="F276" s="136">
        <f t="shared" si="14"/>
        <v>0</v>
      </c>
      <c r="G276" s="100"/>
      <c r="H276" s="100"/>
      <c r="I276" s="100"/>
      <c r="J276" s="100"/>
      <c r="K276" s="100"/>
      <c r="L276" s="100"/>
      <c r="M276" s="100"/>
      <c r="N276" s="100">
        <v>100000</v>
      </c>
      <c r="O276" s="160"/>
      <c r="P276" s="167"/>
    </row>
    <row r="277" spans="1:16" ht="42" customHeight="1" x14ac:dyDescent="0.35">
      <c r="A277" s="133" t="s">
        <v>685</v>
      </c>
      <c r="B277" s="192">
        <f t="shared" si="12"/>
        <v>33528</v>
      </c>
      <c r="C277" s="136">
        <f t="shared" si="13"/>
        <v>0</v>
      </c>
      <c r="D277" s="136"/>
      <c r="E277" s="136"/>
      <c r="F277" s="136">
        <f t="shared" si="14"/>
        <v>33528</v>
      </c>
      <c r="G277" s="100">
        <v>23500</v>
      </c>
      <c r="H277" s="100">
        <v>10028</v>
      </c>
      <c r="I277" s="100"/>
      <c r="J277" s="100"/>
      <c r="K277" s="100"/>
      <c r="L277" s="100"/>
      <c r="M277" s="100"/>
      <c r="N277" s="100"/>
      <c r="O277" s="160"/>
      <c r="P277" s="167"/>
    </row>
    <row r="278" spans="1:16" ht="26.4" customHeight="1" x14ac:dyDescent="0.35">
      <c r="A278" s="133" t="s">
        <v>526</v>
      </c>
      <c r="B278" s="192">
        <f t="shared" si="12"/>
        <v>30000</v>
      </c>
      <c r="C278" s="136">
        <f t="shared" si="13"/>
        <v>30000</v>
      </c>
      <c r="D278" s="136">
        <v>24274</v>
      </c>
      <c r="E278" s="136">
        <v>5726</v>
      </c>
      <c r="F278" s="136">
        <f t="shared" si="14"/>
        <v>0</v>
      </c>
      <c r="G278" s="100"/>
      <c r="H278" s="100"/>
      <c r="I278" s="100"/>
      <c r="J278" s="100"/>
      <c r="K278" s="100"/>
      <c r="L278" s="100"/>
      <c r="M278" s="100"/>
      <c r="N278" s="100"/>
      <c r="O278" s="160"/>
      <c r="P278" s="167"/>
    </row>
    <row r="279" spans="1:16" ht="30" customHeight="1" x14ac:dyDescent="0.35">
      <c r="A279" s="133" t="s">
        <v>668</v>
      </c>
      <c r="B279" s="192">
        <f t="shared" si="12"/>
        <v>132115</v>
      </c>
      <c r="C279" s="136">
        <f t="shared" si="13"/>
        <v>0</v>
      </c>
      <c r="D279" s="136"/>
      <c r="E279" s="136"/>
      <c r="F279" s="136">
        <f t="shared" si="14"/>
        <v>0</v>
      </c>
      <c r="G279" s="100"/>
      <c r="H279" s="100"/>
      <c r="I279" s="100"/>
      <c r="J279" s="100"/>
      <c r="K279" s="100"/>
      <c r="L279" s="100"/>
      <c r="M279" s="100"/>
      <c r="N279" s="100">
        <v>132115</v>
      </c>
      <c r="O279" s="160"/>
      <c r="P279" s="167"/>
    </row>
    <row r="280" spans="1:16" ht="46.5" customHeight="1" x14ac:dyDescent="0.35">
      <c r="A280" s="133" t="s">
        <v>589</v>
      </c>
      <c r="B280" s="192">
        <f t="shared" si="12"/>
        <v>398362</v>
      </c>
      <c r="C280" s="136">
        <f t="shared" si="13"/>
        <v>0</v>
      </c>
      <c r="D280" s="136"/>
      <c r="E280" s="136"/>
      <c r="F280" s="136">
        <f t="shared" si="14"/>
        <v>0</v>
      </c>
      <c r="G280" s="100"/>
      <c r="H280" s="100"/>
      <c r="I280" s="100"/>
      <c r="J280" s="100"/>
      <c r="K280" s="100"/>
      <c r="L280" s="100"/>
      <c r="M280" s="100"/>
      <c r="N280" s="100">
        <v>398362</v>
      </c>
      <c r="O280" s="160"/>
      <c r="P280" s="167"/>
    </row>
    <row r="281" spans="1:16" ht="34.5" customHeight="1" x14ac:dyDescent="0.35">
      <c r="A281" s="133" t="s">
        <v>598</v>
      </c>
      <c r="B281" s="192">
        <f t="shared" si="12"/>
        <v>13194</v>
      </c>
      <c r="C281" s="136">
        <f t="shared" si="13"/>
        <v>0</v>
      </c>
      <c r="D281" s="136"/>
      <c r="E281" s="136"/>
      <c r="F281" s="136">
        <f t="shared" si="14"/>
        <v>5194</v>
      </c>
      <c r="G281" s="100"/>
      <c r="H281" s="100">
        <v>800</v>
      </c>
      <c r="I281" s="100">
        <v>4394</v>
      </c>
      <c r="J281" s="100"/>
      <c r="K281" s="100"/>
      <c r="L281" s="100"/>
      <c r="M281" s="72"/>
      <c r="N281" s="100">
        <v>8000</v>
      </c>
      <c r="O281" s="160"/>
      <c r="P281" s="167"/>
    </row>
    <row r="282" spans="1:16" ht="42" customHeight="1" x14ac:dyDescent="0.35">
      <c r="A282" s="181" t="s">
        <v>545</v>
      </c>
      <c r="B282" s="192">
        <f t="shared" si="12"/>
        <v>7351</v>
      </c>
      <c r="C282" s="136">
        <f t="shared" si="13"/>
        <v>0</v>
      </c>
      <c r="D282" s="136"/>
      <c r="E282" s="136"/>
      <c r="F282" s="136">
        <f t="shared" si="14"/>
        <v>7351</v>
      </c>
      <c r="G282" s="100"/>
      <c r="H282" s="100">
        <v>7351</v>
      </c>
      <c r="I282" s="100"/>
      <c r="J282" s="100"/>
      <c r="K282" s="100"/>
      <c r="L282" s="100"/>
      <c r="M282" s="72"/>
      <c r="N282" s="100">
        <v>0</v>
      </c>
      <c r="O282" s="160"/>
      <c r="P282" s="167"/>
    </row>
    <row r="283" spans="1:16" ht="42" customHeight="1" x14ac:dyDescent="0.35">
      <c r="A283" s="181" t="s">
        <v>676</v>
      </c>
      <c r="B283" s="192">
        <f t="shared" si="12"/>
        <v>67265</v>
      </c>
      <c r="C283" s="136">
        <f t="shared" si="13"/>
        <v>0</v>
      </c>
      <c r="D283" s="136"/>
      <c r="E283" s="136"/>
      <c r="F283" s="136">
        <f t="shared" si="14"/>
        <v>58985</v>
      </c>
      <c r="G283" s="100">
        <v>44156</v>
      </c>
      <c r="H283" s="100">
        <v>14829</v>
      </c>
      <c r="I283" s="100"/>
      <c r="J283" s="100"/>
      <c r="K283" s="100"/>
      <c r="L283" s="100"/>
      <c r="M283" s="72"/>
      <c r="N283" s="100">
        <v>0</v>
      </c>
      <c r="O283" s="160"/>
      <c r="P283" s="167">
        <v>8280</v>
      </c>
    </row>
    <row r="284" spans="1:16" ht="37.5" customHeight="1" x14ac:dyDescent="0.35">
      <c r="A284" s="181" t="s">
        <v>543</v>
      </c>
      <c r="B284" s="192">
        <f t="shared" si="12"/>
        <v>901146</v>
      </c>
      <c r="C284" s="136">
        <f t="shared" si="13"/>
        <v>0</v>
      </c>
      <c r="D284" s="136"/>
      <c r="E284" s="136"/>
      <c r="F284" s="136">
        <f t="shared" si="14"/>
        <v>0</v>
      </c>
      <c r="G284" s="100"/>
      <c r="H284" s="100"/>
      <c r="I284" s="100"/>
      <c r="J284" s="100"/>
      <c r="K284" s="100"/>
      <c r="L284" s="100"/>
      <c r="M284" s="72"/>
      <c r="N284" s="100">
        <v>901146</v>
      </c>
      <c r="O284" s="160"/>
      <c r="P284" s="167"/>
    </row>
    <row r="285" spans="1:16" ht="99" customHeight="1" x14ac:dyDescent="0.35">
      <c r="A285" s="181" t="s">
        <v>735</v>
      </c>
      <c r="B285" s="192">
        <f t="shared" si="12"/>
        <v>178413</v>
      </c>
      <c r="C285" s="136">
        <f t="shared" si="13"/>
        <v>0</v>
      </c>
      <c r="D285" s="136"/>
      <c r="E285" s="136"/>
      <c r="F285" s="136">
        <f t="shared" si="14"/>
        <v>0</v>
      </c>
      <c r="G285" s="100"/>
      <c r="H285" s="100"/>
      <c r="I285" s="100"/>
      <c r="J285" s="100"/>
      <c r="K285" s="100"/>
      <c r="L285" s="100"/>
      <c r="M285" s="72"/>
      <c r="N285" s="100">
        <v>178413</v>
      </c>
      <c r="O285" s="160"/>
      <c r="P285" s="167"/>
    </row>
    <row r="286" spans="1:16" ht="42" customHeight="1" x14ac:dyDescent="0.35">
      <c r="A286" s="181" t="s">
        <v>661</v>
      </c>
      <c r="B286" s="192">
        <f t="shared" si="12"/>
        <v>1807381</v>
      </c>
      <c r="C286" s="136">
        <f t="shared" si="13"/>
        <v>0</v>
      </c>
      <c r="D286" s="136"/>
      <c r="E286" s="136"/>
      <c r="F286" s="136">
        <f t="shared" si="14"/>
        <v>0</v>
      </c>
      <c r="G286" s="100"/>
      <c r="H286" s="100"/>
      <c r="I286" s="100"/>
      <c r="J286" s="100"/>
      <c r="K286" s="100"/>
      <c r="L286" s="100"/>
      <c r="M286" s="72"/>
      <c r="N286" s="100">
        <v>1807381</v>
      </c>
      <c r="O286" s="160"/>
      <c r="P286" s="167"/>
    </row>
    <row r="287" spans="1:16" ht="54.75" customHeight="1" x14ac:dyDescent="0.35">
      <c r="A287" s="181" t="s">
        <v>544</v>
      </c>
      <c r="B287" s="192">
        <f t="shared" si="12"/>
        <v>131740</v>
      </c>
      <c r="C287" s="136">
        <f t="shared" si="13"/>
        <v>0</v>
      </c>
      <c r="D287" s="136"/>
      <c r="E287" s="136"/>
      <c r="F287" s="136">
        <f t="shared" si="14"/>
        <v>0</v>
      </c>
      <c r="G287" s="100"/>
      <c r="H287" s="100"/>
      <c r="I287" s="100"/>
      <c r="J287" s="100"/>
      <c r="K287" s="100"/>
      <c r="L287" s="100"/>
      <c r="M287" s="72"/>
      <c r="N287" s="100">
        <v>131740</v>
      </c>
      <c r="O287" s="160"/>
      <c r="P287" s="167"/>
    </row>
    <row r="288" spans="1:16" ht="36.75" customHeight="1" x14ac:dyDescent="0.35">
      <c r="A288" s="181" t="s">
        <v>600</v>
      </c>
      <c r="B288" s="192">
        <f t="shared" si="12"/>
        <v>5000</v>
      </c>
      <c r="C288" s="136">
        <f t="shared" si="13"/>
        <v>0</v>
      </c>
      <c r="D288" s="136"/>
      <c r="E288" s="136"/>
      <c r="F288" s="136">
        <f t="shared" si="14"/>
        <v>0</v>
      </c>
      <c r="G288" s="100"/>
      <c r="H288" s="100"/>
      <c r="I288" s="100"/>
      <c r="J288" s="100"/>
      <c r="K288" s="100"/>
      <c r="L288" s="100">
        <v>5000</v>
      </c>
      <c r="M288" s="72"/>
      <c r="N288" s="100"/>
      <c r="O288" s="160"/>
      <c r="P288" s="167"/>
    </row>
    <row r="289" spans="1:18" ht="30" customHeight="1" x14ac:dyDescent="0.35">
      <c r="A289" s="181" t="s">
        <v>602</v>
      </c>
      <c r="B289" s="192">
        <f t="shared" si="12"/>
        <v>35874</v>
      </c>
      <c r="C289" s="136">
        <f t="shared" si="13"/>
        <v>0</v>
      </c>
      <c r="D289" s="136"/>
      <c r="E289" s="136"/>
      <c r="F289" s="136">
        <f t="shared" si="14"/>
        <v>0</v>
      </c>
      <c r="G289" s="100"/>
      <c r="H289" s="100"/>
      <c r="I289" s="100"/>
      <c r="J289" s="100"/>
      <c r="K289" s="100"/>
      <c r="L289" s="100"/>
      <c r="M289" s="72"/>
      <c r="N289" s="100">
        <v>35874</v>
      </c>
      <c r="O289" s="160"/>
      <c r="P289" s="167"/>
    </row>
    <row r="290" spans="1:18" ht="48" customHeight="1" x14ac:dyDescent="0.35">
      <c r="A290" s="181" t="s">
        <v>673</v>
      </c>
      <c r="B290" s="192">
        <f t="shared" si="12"/>
        <v>35058</v>
      </c>
      <c r="C290" s="136">
        <f t="shared" si="13"/>
        <v>0</v>
      </c>
      <c r="D290" s="136"/>
      <c r="E290" s="136"/>
      <c r="F290" s="136">
        <f t="shared" si="14"/>
        <v>0</v>
      </c>
      <c r="G290" s="100"/>
      <c r="H290" s="100"/>
      <c r="I290" s="100"/>
      <c r="J290" s="100"/>
      <c r="K290" s="100"/>
      <c r="L290" s="100"/>
      <c r="M290" s="72"/>
      <c r="N290" s="100"/>
      <c r="O290" s="160"/>
      <c r="P290" s="170">
        <v>35058</v>
      </c>
    </row>
    <row r="291" spans="1:18" ht="48" customHeight="1" x14ac:dyDescent="0.35">
      <c r="A291" s="181" t="s">
        <v>674</v>
      </c>
      <c r="B291" s="192">
        <f t="shared" si="12"/>
        <v>13142</v>
      </c>
      <c r="C291" s="136">
        <f t="shared" si="13"/>
        <v>0</v>
      </c>
      <c r="D291" s="136"/>
      <c r="E291" s="136"/>
      <c r="F291" s="136">
        <f t="shared" si="14"/>
        <v>0</v>
      </c>
      <c r="G291" s="100"/>
      <c r="H291" s="100"/>
      <c r="I291" s="100"/>
      <c r="J291" s="100"/>
      <c r="K291" s="100"/>
      <c r="L291" s="100"/>
      <c r="M291" s="72"/>
      <c r="N291" s="100"/>
      <c r="O291" s="160"/>
      <c r="P291" s="170">
        <v>13142</v>
      </c>
    </row>
    <row r="292" spans="1:18" ht="30" customHeight="1" x14ac:dyDescent="0.35">
      <c r="A292" s="181" t="s">
        <v>672</v>
      </c>
      <c r="B292" s="192">
        <f t="shared" si="12"/>
        <v>65155</v>
      </c>
      <c r="C292" s="136">
        <f t="shared" si="13"/>
        <v>0</v>
      </c>
      <c r="D292" s="136"/>
      <c r="E292" s="136"/>
      <c r="F292" s="136">
        <f t="shared" si="14"/>
        <v>0</v>
      </c>
      <c r="G292" s="100"/>
      <c r="H292" s="100"/>
      <c r="I292" s="100"/>
      <c r="J292" s="100"/>
      <c r="K292" s="100"/>
      <c r="L292" s="100"/>
      <c r="M292" s="72"/>
      <c r="N292" s="100"/>
      <c r="O292" s="160"/>
      <c r="P292" s="170">
        <v>65155</v>
      </c>
    </row>
    <row r="293" spans="1:18" ht="26.4" customHeight="1" x14ac:dyDescent="0.3">
      <c r="A293" s="82" t="s">
        <v>39</v>
      </c>
      <c r="B293" s="148">
        <f t="shared" ref="B293:P293" si="15">SUM(B13:B292)</f>
        <v>41957831</v>
      </c>
      <c r="C293" s="72">
        <f t="shared" si="15"/>
        <v>24514998</v>
      </c>
      <c r="D293" s="72">
        <f t="shared" si="15"/>
        <v>19751529</v>
      </c>
      <c r="E293" s="72">
        <f t="shared" si="15"/>
        <v>4763469</v>
      </c>
      <c r="F293" s="72">
        <f t="shared" si="15"/>
        <v>9009646</v>
      </c>
      <c r="G293" s="72">
        <f t="shared" si="15"/>
        <v>176239</v>
      </c>
      <c r="H293" s="72">
        <f t="shared" si="15"/>
        <v>4890712</v>
      </c>
      <c r="I293" s="72">
        <f t="shared" si="15"/>
        <v>3735862</v>
      </c>
      <c r="J293" s="72">
        <f t="shared" si="15"/>
        <v>14213</v>
      </c>
      <c r="K293" s="72">
        <f t="shared" si="15"/>
        <v>192620</v>
      </c>
      <c r="L293" s="72">
        <f t="shared" si="15"/>
        <v>127750</v>
      </c>
      <c r="M293" s="72">
        <f t="shared" si="15"/>
        <v>568062</v>
      </c>
      <c r="N293" s="72">
        <f t="shared" si="15"/>
        <v>5494154</v>
      </c>
      <c r="O293" s="72">
        <f t="shared" si="15"/>
        <v>1971586</v>
      </c>
      <c r="P293" s="72">
        <f t="shared" si="15"/>
        <v>271635</v>
      </c>
      <c r="Q293" s="49"/>
      <c r="R293" s="49"/>
    </row>
    <row r="294" spans="1:18" ht="15" customHeight="1" x14ac:dyDescent="0.25">
      <c r="A294" s="110"/>
      <c r="B294" s="193"/>
      <c r="C294" s="149"/>
      <c r="D294" s="149"/>
      <c r="E294" s="150"/>
      <c r="F294" s="150"/>
      <c r="G294" s="108"/>
      <c r="H294" s="108"/>
      <c r="I294" s="107"/>
      <c r="J294" s="107"/>
      <c r="K294" s="107"/>
      <c r="L294" s="107"/>
      <c r="M294" s="107"/>
      <c r="N294" s="107"/>
      <c r="O294" s="107"/>
    </row>
    <row r="295" spans="1:18" ht="15" customHeight="1" x14ac:dyDescent="0.25">
      <c r="A295" s="110"/>
      <c r="B295" s="193"/>
      <c r="C295" s="210" t="s">
        <v>758</v>
      </c>
      <c r="D295" s="210"/>
      <c r="E295" s="210"/>
      <c r="F295" s="210"/>
      <c r="G295" s="210"/>
      <c r="H295" s="210"/>
      <c r="I295" s="210"/>
      <c r="J295" s="210"/>
      <c r="K295" s="210"/>
      <c r="L295" s="210"/>
      <c r="M295" s="210"/>
      <c r="N295" s="210"/>
      <c r="O295" s="210"/>
      <c r="P295" s="210"/>
    </row>
    <row r="296" spans="1:18" ht="15" customHeight="1" x14ac:dyDescent="0.35">
      <c r="B296" s="48"/>
      <c r="D296" s="49"/>
      <c r="M296" s="67"/>
    </row>
    <row r="297" spans="1:18" ht="18" x14ac:dyDescent="0.35">
      <c r="A297" s="67"/>
      <c r="B297" s="48"/>
      <c r="D297" s="49"/>
      <c r="E297" s="150"/>
      <c r="F297" s="150"/>
      <c r="G297" s="108"/>
      <c r="H297" s="108"/>
      <c r="I297" s="67"/>
      <c r="J297" s="67"/>
      <c r="K297" s="67"/>
      <c r="L297" s="67"/>
      <c r="M297" s="109"/>
      <c r="N297" s="67"/>
      <c r="O297" s="124"/>
    </row>
    <row r="298" spans="1:18" x14ac:dyDescent="0.25">
      <c r="C298" s="49"/>
      <c r="D298" s="49"/>
      <c r="E298" s="150"/>
      <c r="F298" s="150"/>
      <c r="G298" s="108"/>
      <c r="H298" s="108"/>
      <c r="I298" s="109"/>
      <c r="J298" s="109"/>
      <c r="K298" s="109"/>
      <c r="L298" s="109"/>
      <c r="N298" s="109"/>
      <c r="O298" s="109"/>
    </row>
    <row r="299" spans="1:18" x14ac:dyDescent="0.25">
      <c r="E299" s="150"/>
      <c r="F299" s="150"/>
      <c r="G299" s="108"/>
      <c r="H299" s="108"/>
    </row>
    <row r="300" spans="1:18" x14ac:dyDescent="0.25">
      <c r="E300" s="150"/>
      <c r="F300" s="150"/>
      <c r="G300" s="108"/>
      <c r="H300" s="108"/>
    </row>
    <row r="301" spans="1:18" x14ac:dyDescent="0.25">
      <c r="E301" s="150"/>
      <c r="F301" s="150"/>
      <c r="G301" s="108"/>
      <c r="H301" s="108"/>
    </row>
    <row r="304" spans="1:18" x14ac:dyDescent="0.25">
      <c r="G304" s="109"/>
      <c r="H304" s="109"/>
      <c r="I304" s="109"/>
      <c r="J304" s="109"/>
      <c r="K304" s="109"/>
      <c r="L304" s="109"/>
    </row>
  </sheetData>
  <autoFilter ref="A10:O293" xr:uid="{00000000-0009-0000-0000-000003000000}"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</autoFilter>
  <mergeCells count="7">
    <mergeCell ref="C295:P295"/>
    <mergeCell ref="B1:D7"/>
    <mergeCell ref="C9:E9"/>
    <mergeCell ref="A1:A9"/>
    <mergeCell ref="C10:O10"/>
    <mergeCell ref="A10:A12"/>
    <mergeCell ref="B10:B12"/>
  </mergeCells>
  <printOptions horizontalCentered="1"/>
  <pageMargins left="0.70866141732283505" right="0.70866141732283505" top="0.74803149606299202" bottom="0.74803149606299202" header="0.31496062992126" footer="0.31496062992126"/>
  <pageSetup paperSize="9" scale="56" fitToHeight="0" orientation="landscape" r:id="rId1"/>
  <headerFooter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1.pielikums</vt:lpstr>
      <vt:lpstr>2.pielikums</vt:lpstr>
      <vt:lpstr>3.pielikums</vt:lpstr>
      <vt:lpstr>4.pielikums</vt:lpstr>
      <vt:lpstr>'4.pielikums'!Print_Area</vt:lpstr>
    </vt:vector>
  </TitlesOfParts>
  <Manager/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Sanita Djadela</cp:lastModifiedBy>
  <cp:lastPrinted>2026-02-03T06:14:40Z</cp:lastPrinted>
  <dcterms:created xsi:type="dcterms:W3CDTF">2014-01-31T18:56:56Z</dcterms:created>
  <dcterms:modified xsi:type="dcterms:W3CDTF">2026-02-04T14:09:06Z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