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0725" activeTab="0"/>
  </bookViews>
  <sheets>
    <sheet name="2.pielikums" sheetId="1" r:id="rId1"/>
  </sheets>
  <definedNames>
    <definedName name="Excel_BuiltIn__FilterDatabase_1">#REF!</definedName>
    <definedName name="Excel_BuiltIn_Print_Titles_1" localSheetId="0">'2.pielikums'!$A$5:$O$8</definedName>
    <definedName name="Excel_BuiltIn_Print_Titles_1">#REF!</definedName>
    <definedName name="_xlnm.Print_Area" localSheetId="0">'2.pielikums'!$A$1:$O$131</definedName>
    <definedName name="_xlnm.Print_Titles" localSheetId="0">'2.pielikums'!$5:$8</definedName>
  </definedNames>
  <calcPr fullCalcOnLoad="1"/>
</workbook>
</file>

<file path=xl/sharedStrings.xml><?xml version="1.0" encoding="utf-8"?>
<sst xmlns="http://schemas.openxmlformats.org/spreadsheetml/2006/main" count="532" uniqueCount="365">
  <si>
    <t>A</t>
  </si>
  <si>
    <t>B</t>
  </si>
  <si>
    <t>Aizņēmumi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</si>
  <si>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</si>
  <si>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</si>
  <si>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</si>
  <si>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</si>
  <si>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</si>
  <si>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</si>
  <si>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</si>
  <si>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</si>
  <si>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</si>
  <si>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</si>
  <si>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</si>
  <si>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</si>
  <si>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</si>
  <si>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</si>
  <si>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</si>
  <si>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</si>
  <si>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</si>
  <si>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</si>
  <si>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</si>
  <si>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F</t>
  </si>
  <si>
    <t>G</t>
  </si>
  <si>
    <t xml:space="preserve">Rēzeknes novada pašvaldības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</si>
  <si>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</si>
  <si>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</si>
  <si>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</si>
  <si>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</si>
  <si>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</si>
  <si>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</si>
  <si>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</si>
  <si>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</si>
  <si>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</si>
  <si>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</si>
  <si>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X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</si>
  <si>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</si>
  <si>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</si>
  <si>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</si>
  <si>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</si>
  <si>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</si>
  <si>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</si>
  <si>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</si>
  <si>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</si>
  <si>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</si>
  <si>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</si>
  <si>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</si>
  <si>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</si>
  <si>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</si>
  <si>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</si>
  <si>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</si>
  <si>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</si>
  <si>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</si>
  <si>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</si>
  <si>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</si>
  <si>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</si>
  <si>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</si>
  <si>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</si>
  <si>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</si>
  <si>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</si>
  <si>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</si>
  <si>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</si>
  <si>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</si>
  <si>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</si>
  <si>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</si>
  <si>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</si>
  <si>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</si>
  <si>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</si>
  <si>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</si>
  <si>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</si>
  <si>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</si>
  <si>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</si>
  <si>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</si>
  <si>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</si>
  <si>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</si>
  <si>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</si>
  <si>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</si>
  <si>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</si>
  <si>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</si>
  <si>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</si>
  <si>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</si>
  <si>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</si>
  <si>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</si>
  <si>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</si>
  <si>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</si>
  <si>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</si>
  <si>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</si>
  <si>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</si>
  <si>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</si>
  <si>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</si>
  <si>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</si>
  <si>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</si>
  <si>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</si>
  <si>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</si>
  <si>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Valsts kase</t>
  </si>
  <si>
    <t>09.08.2011</t>
  </si>
  <si>
    <t>20.12.2027</t>
  </si>
  <si>
    <t>ELFLA projekta "Lūznavas pagasta Lūznavas un Veczosnas ciemu ielu rekonstrukcija" īstenošanai</t>
  </si>
  <si>
    <t>28.07.2010</t>
  </si>
  <si>
    <t>20.07.2030</t>
  </si>
  <si>
    <t>27.06.2013</t>
  </si>
  <si>
    <t>22.08.2012</t>
  </si>
  <si>
    <t>20.12.2029</t>
  </si>
  <si>
    <t>20.04.2026</t>
  </si>
  <si>
    <t>Rēzeknes novada Čornajas pagasta Čornajas ciema ūdenssaimniecības attīstība</t>
  </si>
  <si>
    <t>21.05.2013</t>
  </si>
  <si>
    <t>20.05.2033</t>
  </si>
  <si>
    <t>Rēzeknes novada Čornajas pagasta Ratnieku ciema ūdensssaimniecības attīstība</t>
  </si>
  <si>
    <t>19.08.2014</t>
  </si>
  <si>
    <t>20.08.2034</t>
  </si>
  <si>
    <t>ELFLA projekta (Nr.16-01-AL15-A019.2201-000007) "Lūznavas muižas kompleksa ēku revitalizācija"</t>
  </si>
  <si>
    <t>10.08.2017</t>
  </si>
  <si>
    <t>20.07.2042</t>
  </si>
  <si>
    <t>13.11.2018</t>
  </si>
  <si>
    <t>20.10.2038</t>
  </si>
  <si>
    <t>20.02.2028</t>
  </si>
  <si>
    <t>11.02.2019</t>
  </si>
  <si>
    <t>20.01.2039</t>
  </si>
  <si>
    <t>30.08.2018</t>
  </si>
  <si>
    <t>20.03.2039</t>
  </si>
  <si>
    <t>12.05.2009</t>
  </si>
  <si>
    <t>20.07.2029</t>
  </si>
  <si>
    <t>24.07.2014</t>
  </si>
  <si>
    <t>20.07.2039</t>
  </si>
  <si>
    <t>03.07.2018</t>
  </si>
  <si>
    <t>20.06.2038</t>
  </si>
  <si>
    <t>25.09.2014</t>
  </si>
  <si>
    <t>20.09.2039</t>
  </si>
  <si>
    <t>20.06.2028</t>
  </si>
  <si>
    <t>20.08.2029</t>
  </si>
  <si>
    <t>30.04.2014</t>
  </si>
  <si>
    <t>20.04.2034</t>
  </si>
  <si>
    <t>14.06.2006</t>
  </si>
  <si>
    <t>20.12.2025</t>
  </si>
  <si>
    <t>22.11.2013</t>
  </si>
  <si>
    <t>20.11.2033</t>
  </si>
  <si>
    <t>19.03.2014</t>
  </si>
  <si>
    <t>20.03.2024</t>
  </si>
  <si>
    <t>19.06.2015</t>
  </si>
  <si>
    <t>20.06.2025</t>
  </si>
  <si>
    <t>24.09.2012</t>
  </si>
  <si>
    <t>20.09.2037</t>
  </si>
  <si>
    <t>13.03.2015</t>
  </si>
  <si>
    <t>20.03.2025</t>
  </si>
  <si>
    <t>KPFI projekta (Nr.KPFI-15.4/60) Kompleksi risinājumi siltumnīcefekta gāzu emisiju samazināšanai Maltas pirmskolas izglītības iestādē īstenošanai</t>
  </si>
  <si>
    <t>20.08.2032</t>
  </si>
  <si>
    <t>Rēzeknes novada Nagļu pagasta Nagļu ciema ūdenssaimniecības attīstība</t>
  </si>
  <si>
    <t>20.11.2014</t>
  </si>
  <si>
    <t>20.11.2024</t>
  </si>
  <si>
    <t>Sakstagala Jāņa Klīdzēja pamatskolas ēkas energoefektivitātes uzlabošana</t>
  </si>
  <si>
    <t>01.08.2018</t>
  </si>
  <si>
    <t>20.07.2038</t>
  </si>
  <si>
    <t>26.09.2012</t>
  </si>
  <si>
    <t>Ūdenssaimniecības attīstība Rēzeknes novada Sakstagala pagasta Ciskādu ciemā</t>
  </si>
  <si>
    <t>21.07.2015</t>
  </si>
  <si>
    <t>20.07.2035</t>
  </si>
  <si>
    <t>Kultūras nama vienkāršotā rekonstrukcija</t>
  </si>
  <si>
    <t>22.05.2012</t>
  </si>
  <si>
    <t>20.05.2037</t>
  </si>
  <si>
    <t>Ūdenssaimniecības attīstība Strūžānu pagastā</t>
  </si>
  <si>
    <t>01.06.2006</t>
  </si>
  <si>
    <t>20.02.2031</t>
  </si>
  <si>
    <t>Ūdenssaimniecības attīstība Uļjanovas ciemā</t>
  </si>
  <si>
    <t>Dricānu vidusskolas vienkāršota atjaunošana</t>
  </si>
  <si>
    <t>06.09.2016</t>
  </si>
  <si>
    <t>20.08.2026</t>
  </si>
  <si>
    <t>20.07.2028</t>
  </si>
  <si>
    <t>Jaunstrūžānu pamatskolas jumta vienkāršotā renovācija</t>
  </si>
  <si>
    <t>20.11.2034</t>
  </si>
  <si>
    <t xml:space="preserve">Prioritārā investīciju projekta "Ekas Brīvības ielā 6, Maltā vienkāršota atjaunošana" īstenošanai </t>
  </si>
  <si>
    <t>Projekta "Caurtekas izbūve uz pašvaldības autoceļa "Prezma - Lisovski - Loši"" īstenošana</t>
  </si>
  <si>
    <t>24.05.2017</t>
  </si>
  <si>
    <t>20.05.2027</t>
  </si>
  <si>
    <t>Projekta "Kanalizācijas ierīkošana Štikānu ciemā" īstenošana</t>
  </si>
  <si>
    <t>08.06.2018</t>
  </si>
  <si>
    <t>20.05.2028</t>
  </si>
  <si>
    <t>Projekta "Kruķu pamatskolas atjaunošana" īstenošana</t>
  </si>
  <si>
    <t>20.05.2042</t>
  </si>
  <si>
    <t>03.10.2017</t>
  </si>
  <si>
    <t>Projekta "Siltumtrases un katlu mājas pārbūve Dricānu pagasta pārvaldei" īstenošanai</t>
  </si>
  <si>
    <t>30.10.2017</t>
  </si>
  <si>
    <t>20.10.2037</t>
  </si>
  <si>
    <t>Rēzeknes novada pašvaldībai piederošās dzīvojamās mājas Dricānos pārbūve par feldšeru punkta ēku</t>
  </si>
  <si>
    <t>02.03.2017</t>
  </si>
  <si>
    <t>20.02.2037</t>
  </si>
  <si>
    <t>06.10.2016</t>
  </si>
  <si>
    <t>20.09.2036</t>
  </si>
  <si>
    <t>Ūdenssaimniecības infrastruktūras attīstība Lendžu ciemā</t>
  </si>
  <si>
    <t>01.06.2007</t>
  </si>
  <si>
    <t>20.03.2027</t>
  </si>
  <si>
    <t>"Kaunatas ciemata centrālās katlu mājas remonts"</t>
  </si>
  <si>
    <t>07.07.2011</t>
  </si>
  <si>
    <t>20.06.2026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</si>
  <si>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</si>
  <si>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</si>
  <si>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</si>
  <si>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</si>
  <si>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</si>
  <si>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</si>
  <si>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20.10.2025</t>
  </si>
  <si>
    <t>29.01.2016</t>
  </si>
  <si>
    <t>20.01.2026</t>
  </si>
  <si>
    <t>Pašvaldības autonomo funkciju veikšanai nepieciešamā transporta iegāde</t>
  </si>
  <si>
    <t>10.05.2019</t>
  </si>
  <si>
    <t>"RNP Kaunatas pagasta pirmsskolas izglītības iestādes ēkas fasādes renovācija"</t>
  </si>
  <si>
    <t>Finanšu ministrija</t>
  </si>
  <si>
    <t xml:space="preserve">Projekts"Sadzīves atkritumu apsaimniekošana Austrumlatgales reģionā" </t>
  </si>
  <si>
    <t>13.11.2006</t>
  </si>
  <si>
    <t>12.11.2025</t>
  </si>
  <si>
    <t>SEB Banka</t>
  </si>
  <si>
    <t>Studiju kredīts</t>
  </si>
  <si>
    <t>30.11.2010</t>
  </si>
  <si>
    <t>14.02.2024</t>
  </si>
  <si>
    <t>SEB banka</t>
  </si>
  <si>
    <t>17.11.2011</t>
  </si>
  <si>
    <t>14.08.2024</t>
  </si>
  <si>
    <t>29.10.2012</t>
  </si>
  <si>
    <t>14.05.2025</t>
  </si>
  <si>
    <t>06.06.2014</t>
  </si>
  <si>
    <t>20.03.2034</t>
  </si>
  <si>
    <t>05.09.2018</t>
  </si>
  <si>
    <t>20.08.2048</t>
  </si>
  <si>
    <t>Vides investīciju fonds</t>
  </si>
  <si>
    <t>Ūdens saimniecības attīstība Maltā</t>
  </si>
  <si>
    <t>13.03.2009</t>
  </si>
  <si>
    <t>01.04.2034</t>
  </si>
  <si>
    <t>20.09.2040</t>
  </si>
  <si>
    <t>02.10.2020</t>
  </si>
  <si>
    <t>Centrālās ielas (1,400 km) pārbūve Pleikšņu ciemā, Ozolaines pagastā</t>
  </si>
  <si>
    <t>20.03.2030</t>
  </si>
  <si>
    <t>30.03.2020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</si>
  <si>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</si>
  <si>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</si>
  <si>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</si>
  <si>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</si>
  <si>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</si>
  <si>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</si>
  <si>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</si>
  <si>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</si>
  <si>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</si>
  <si>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Igaunijas-Latvijas-Krievijas pārrobežu sadarbības programmas projekta(Nr.ELRI-109)"Transporta un loģistikas attīstības iespēju paaugstināšana Latvijas-Igaunijas-Krievijas starptautiskas nozīmes stratēģiskajos transporta koridoros" īsteno\sanai</t>
  </si>
  <si>
    <t>ELFLA projekta "Viļānu kultūras nama-bibliotēkas ēkas rekonstrukcija labvēlīgas iekštelpu vides un pievilcīga ārējā izskata nodrošināšanai, kā arī energoefektivitātes uzlabošanai"</t>
  </si>
  <si>
    <t>projekta "Kompleksi risinājumi siltumnīcefekta gāzu emisiju samazināšanai Viļānu vidusskolā"</t>
  </si>
  <si>
    <t>Projekta "Kompleksi risinājumi siltumnīcefekta gāzu emisiju samazināšanai Viļānu vidusskolā"  īstenošanai</t>
  </si>
  <si>
    <t>ERAF projekts (Nr.3DP/3.2.1.2.0/12/APIA/SM/031 "Tranzītielas" rekonstrukcija Viļānu pilsētas teritorijā, a/c P58 psms 0.5-2.5km</t>
  </si>
  <si>
    <t>KPFI projekts (Nr.KPFI-15.4/58) "Kompleksi" risinājumi siltumnīcefekta gāzu emisiju samazināšanai Viļānu pagasta PII "Bitīte" īstenošanai</t>
  </si>
  <si>
    <t>Projekta "Viļānu vidusskolas stadiona pārbūve" īstenošanai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</si>
  <si>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</si>
  <si>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</si>
  <si>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Prioritārais investīciju projekts "Viļānu novada pašvaldības administrācijas ēkas pārbūve, siltuma zudumu samazināšana" īstenošanai</t>
  </si>
  <si>
    <t>ERAF projekts "Industriālo teritoriju tīklojuma izveide uzņēmējdarbības veicināšanai Rēzeknes pilsētas, Rēzeknes un Viļānu novados" īstenošanai</t>
  </si>
  <si>
    <t>ELFLA projekta Nr.19-01-AL15-A019.2201-000013 "Piedzīvojumu velotrases ierīkošana aktīvā laukuma atpūtai " ALA" teritorijā" īstenošanai</t>
  </si>
  <si>
    <t>Projekta "Dārzu ielas pārbūve Viļānos" īstenošana</t>
  </si>
  <si>
    <t>09.09.2011</t>
  </si>
  <si>
    <t>24.09.2013</t>
  </si>
  <si>
    <t>20.02.2014</t>
  </si>
  <si>
    <t>27.01.2015</t>
  </si>
  <si>
    <t>19.03.2015</t>
  </si>
  <si>
    <t>02.08.2017</t>
  </si>
  <si>
    <t>04.10.2017</t>
  </si>
  <si>
    <t>27.07.2018</t>
  </si>
  <si>
    <t>15.05.2019</t>
  </si>
  <si>
    <t>15.10.2019</t>
  </si>
  <si>
    <t>25.03.2020</t>
  </si>
  <si>
    <t>07.10.2020</t>
  </si>
  <si>
    <t>05.12.2026</t>
  </si>
  <si>
    <t>26.08.2026</t>
  </si>
  <si>
    <t>20.09.2027</t>
  </si>
  <si>
    <t>20.09.2028</t>
  </si>
  <si>
    <t>20.02.2029</t>
  </si>
  <si>
    <t>20.01.2035</t>
  </si>
  <si>
    <t>20.07.2032</t>
  </si>
  <si>
    <t>20.07.2037</t>
  </si>
  <si>
    <t>20.10.2039</t>
  </si>
  <si>
    <t>25.08.2021</t>
  </si>
  <si>
    <t>Rēzeknes novada pašvaldības autoceļu infrastruktūras uzlabošana Nautrēnu pagastu apvienībā</t>
  </si>
  <si>
    <t>20.08.2041</t>
  </si>
  <si>
    <t>08.07.2021</t>
  </si>
  <si>
    <t>Projekta Rēzeknes novada pašvaldības autoceļu infrastruktūras uzlabošana Maltas un Kaunatas pagastu apvienībās īstenošanai</t>
  </si>
  <si>
    <t>29.11.2021</t>
  </si>
  <si>
    <t>Projekts "ielu seguma atjaunošana Liepu ielā, Viļānos" īstenošanai</t>
  </si>
  <si>
    <t>07.10.2021</t>
  </si>
  <si>
    <t>Rēzeknes novada pašvaldības autoceļu infrastruktūras uzlabošana Dricānu pagastu apvienībā</t>
  </si>
  <si>
    <t>Rēzeknes novada pašvaldības autoceļu infrastruktūras uzlabošana Kaunatas pagastu apvienībā</t>
  </si>
  <si>
    <t>Rēzeknes novada pašvaldības autoceļu infrastruktūras uzlabošana Maltas pagastu apvienībā</t>
  </si>
  <si>
    <t>22.06.2026</t>
  </si>
  <si>
    <t>20.11.2041</t>
  </si>
  <si>
    <t>20.08.2031</t>
  </si>
  <si>
    <t>20.09.2041</t>
  </si>
  <si>
    <t>14</t>
  </si>
  <si>
    <t>27</t>
  </si>
  <si>
    <t>34</t>
  </si>
  <si>
    <t>47</t>
  </si>
  <si>
    <t>48</t>
  </si>
  <si>
    <t>Kurināmā piegāde siltumenerģijas ražošanai 2022./2023.gada apkures sezonā</t>
  </si>
  <si>
    <t>20.10.2022</t>
  </si>
  <si>
    <t>20.09.2024</t>
  </si>
  <si>
    <t>26.10.2022</t>
  </si>
  <si>
    <t>85</t>
  </si>
  <si>
    <t>86</t>
  </si>
  <si>
    <t>Projekta "Administratīvās ēkas pārbūve Skolas ielā 24, Maltā, Maltas pagastā, Rēzeknes novadā" investīciju īstenošanai</t>
  </si>
  <si>
    <t>20.10.2042</t>
  </si>
  <si>
    <t>Projekta "Kruķu sākumskolas ēkas pārbūve  Miera ielā 9, Kruķos, Silmalas pagastā, Rēzeknes novadā" investīciju īstenošanai</t>
  </si>
  <si>
    <t>02.08.2023</t>
  </si>
  <si>
    <t>12.06.2023</t>
  </si>
  <si>
    <t>87</t>
  </si>
  <si>
    <t>88</t>
  </si>
  <si>
    <t>Modernas,energoefektīvas sporta halles būvniecība Viļānos</t>
  </si>
  <si>
    <t>Rēznas pamatskolas ēkas energoefektivitātes paaugstināšana</t>
  </si>
  <si>
    <t>20.05.2043</t>
  </si>
  <si>
    <t>20.07.2043</t>
  </si>
  <si>
    <t>20.07.2033</t>
  </si>
  <si>
    <t>20.05.2023</t>
  </si>
  <si>
    <t>03.11.2023</t>
  </si>
  <si>
    <t>10.10.2023</t>
  </si>
  <si>
    <t>20.08.2023</t>
  </si>
  <si>
    <t>20.09.2053</t>
  </si>
  <si>
    <t>Rēzeknes novada pašvaldības 2024. gada saistību apmērs saimnieciskajā gadā un turpmākajos gados</t>
  </si>
  <si>
    <t>60</t>
  </si>
  <si>
    <t>61</t>
  </si>
  <si>
    <t>24.11.2016</t>
  </si>
  <si>
    <t>89</t>
  </si>
  <si>
    <t>Pašvaldības autonomo funkciju veikšanai nepieciešamā transporta (autobusa) iegādei</t>
  </si>
  <si>
    <t>20.11.2023</t>
  </si>
  <si>
    <t>2024. gada 2. maija saistošajiem noteikumiem Nr. 33</t>
  </si>
  <si>
    <t>2. pielikums</t>
  </si>
  <si>
    <t>ELFLA projekta "Dricānu vidusskolas sporta zāles celtniecība" īstenošanai</t>
  </si>
  <si>
    <t>ERAF projekts "Ūdenssaimniecības attīstība Rēzeknes novada Kaunatas ciemā"</t>
  </si>
  <si>
    <t>KPFI projekta Nr.KPFI-7/7 "Oglekļa dioksīda emisiju samazināšana Rēzeknes novada pašvaldības izglītības iestāžu ēkās" Kaunatas pagastā īstenošanai</t>
  </si>
  <si>
    <t>ELFLA projekta (Nr.11-01-L32100-000259) "Stoļerovas pagasta saieta nama izveide" īstenošanai</t>
  </si>
  <si>
    <t>ELFLA projekta (Nr.17-01-A00702-000052) "Pašvaldības ceļu infrastruktūras uzlabošana Rēzeknes novadā, 1. kārta" īstenošanai</t>
  </si>
  <si>
    <t>ELFLA projekta (Nr.18-01-A00702-000006) "Pašvaldības ceļu infrastruktūras uzlabošana Rēzeknes novadā, 3. kārta" īstenošanai</t>
  </si>
  <si>
    <t>ELFLA projekta (Nr.18-01-A00702-000013) "Pašvaldības ceļu infrastruktūras uzlabošana Rēzeknes novadā, 4.kārta" īstenošanai</t>
  </si>
  <si>
    <t>ELFLA projekts "Lendžu ciema Kalnezeru skolas sporta zāles rekonstrukcija"</t>
  </si>
  <si>
    <t xml:space="preserve">ERAF projekta (Nr.3DP/3.4.1.1.0/13/APIA/CFLA/005/004) "Ūdenssaimniecībasattīstība Rēzeknes novada Silmalas pagasta Kruķu ciemā" īstenošana </t>
  </si>
  <si>
    <t>ERAF projekta (Nr.3DP/3.4.1.1.0/13APIA/CFLA/006/083) "Ūdenssaimniecības attīstība Rēzeknes novada Silmalas pagasta Štikānu ciemā" īstenošana</t>
  </si>
  <si>
    <t>ERAF projekta (Nr.5.6.2.0/16/I/018) "Industriālo teritoriju tīklojuma izveide uzņēmējdarbības veicināšanai Rēzeknes pilsētas, Rēzeknes un Viļānu novados" īstenošanai</t>
  </si>
  <si>
    <t>ERAF projekta "Rēzeknes novada pašvaldības vidusskolu infrastruktūras attīstība" īstenošanai</t>
  </si>
  <si>
    <t>ERAF projekta "Ūdenssaimniecības attīstība Rēzeknes novada Bērzgales pagasta Bērzgales ciemā" īstenošanai</t>
  </si>
  <si>
    <t>ERAF projekta "Ūdenssaimniecības infrastuktūras attīstība Vērēmu pagasta Iugulovas ciemā"</t>
  </si>
  <si>
    <t>ERAF projekts "Rēzeknes novada Lendžu pagasta Lendžu ciema ūdenssaimniecības attīstība II kārta"</t>
  </si>
  <si>
    <t>ERAF projekts "Ūdenssaimniecības attīstība Audriņu pagasta Audriņu ciemā"</t>
  </si>
  <si>
    <t>EZF projekts "Brīvdabas estrādes kompleksa būvniecība Lendžu pagasta Lendžu ciemā"</t>
  </si>
  <si>
    <t>EZF projekts "Mākoņkalna pagasta brīvā laika pavadīšanas centra izveide"</t>
  </si>
  <si>
    <t>EZF projekts "Viraudas ezera teritorijas labiekārtošana izbūvējot laivu piestātni ar piebraukšanas laukumu Lendžu ciemā"</t>
  </si>
  <si>
    <t>KPFI projekta (Nr.KPFI-10/79) "Tiskādu vidusskolas rekonstrukcija, kas atbilst zema enerģijas patēriņa ēkas prasībām" īstenošanai</t>
  </si>
  <si>
    <t>KPFI projekta (Nr.KPFI-15.4/59) Kompleksi risinājumi siltumnīcefekta gāzu emisiju samazināšanai Maltas vidusskolā īstenošanai</t>
  </si>
  <si>
    <t>Izglītības iestādes investīciju projekta "Maltas pirmsskolas izglītības iestādes Skolas ielā 25 brauktuvju un kājceliņu seguma atjaunošana" īstenošanai</t>
  </si>
  <si>
    <t>RAF projekts" Ūdenssaimniecības attīstība Rēzeknes novada Lendžu pagasta Lendžu ciemā"</t>
  </si>
  <si>
    <t>Projekta "Nautrēnu pagasta PII "Vālodzīte" siltināšanas darbi" īstenošanai</t>
  </si>
  <si>
    <t>Izglītības iestādes investīciju projekta "Sporta laukuma izbūves 1.kārtas būvprojekta realizācija Kaunatas pagastā (Kaunatas vidusskolā)" īstenošanai</t>
  </si>
  <si>
    <t>Latvijas - Krievijas projekta (Nr.LV-RU-029) Latvijas un Krievijas pārrobežu tūrisma maršruti Sekojot inženiertehniskajām idejām izveide</t>
  </si>
  <si>
    <t>Projekta "Rēzeknes novada pašvaldības autoceļu infrastruktūras uzlabošana Maltas un Kaunatas pagastu apvienībās" īstenošanai</t>
  </si>
  <si>
    <t>KPFI projekta Nr.KPFI-15.3/68 "Kompleksi risinājumi siltumnīcefekta gāzu emisiju samazināšanai Verēmu pamatskolā" īstenošanai</t>
  </si>
  <si>
    <t>SIA "Viļānu namsaimnieks" pamatkapitāla palielināšanai Kohēzijas fonda projekta "Ūdenssaimniecības attīstība Viļānu pašvaldībā, 3. kārta"</t>
  </si>
  <si>
    <t>Projekta "Tranzītielas rekonstrukcija Viļānu pilsētas teritorijā valsts 1.šķiras autoceļa maršrutā Viļāni - Preiļi - Špoģi (P58) posmā Rīgas iela, Kultūras laukums, Brīvības iela (2.kārta)" īstenošana</t>
  </si>
  <si>
    <t>ERAF projekts (Nr.4.2.2.0/21/A/033) "Viļānu Mūzikas un mākslas skolas jaunās ēkas energoefektivitātes paaugstināšana"</t>
  </si>
  <si>
    <t>ERAF projekts (Nr.4.2.2.0/21/A/030) "Maltas Bērnu un jauniešu centra ēkas energoefektivitātes paaugstināšana"</t>
  </si>
  <si>
    <t>ERAF projekts (Nr.9.3.1.1/18/I/030) "Sabiedrībā balstītu sociālo pakalpojumu infrastruktūras izveide un attīstība Rēzeknes novada pašvaldības Viļānu apvienībā"</t>
  </si>
  <si>
    <t>ERAF projekts (Nr.4.2.2.0/21/A/032) "Lendžu administratīvās ēkas, t. sk., kultūras nama energoefektivitātes paaugstināšana"</t>
  </si>
  <si>
    <t>ES Kohēzijas fonda projekta "Ūdenssaimniecības pakalpojuma attīstība Maltā II kārta" īstenošanai</t>
  </si>
  <si>
    <t>Kohēzijas fonda projekta Nr.5.3.1.0/17/I/029 "Ūdenssaimniecības attīstība Maltā III kārta" īstenošanai</t>
  </si>
  <si>
    <t>Projekts "Sadzīves atkritumu apsaimniekošana Austrumlatgales regionā"</t>
  </si>
  <si>
    <t>ERAF projekta (Nr.9.3.1.1/19/I/047) " Sabiedrībā balstītu sociālo pakalpojumu infrastruktūras izveide un attīstība Rēzeknes novadā" īstenošanai</t>
  </si>
  <si>
    <t>ELFLA projekts Nr.18-01-A00702-0001070 "Viļānu novada lauku ceļu īnfrastruktūras pārbūve" īstenošanai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</si>
</sst>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\.0"/>
    <numFmt numFmtId="179" formatCode="_-&quot;Ls &quot;* #,##0.00_-;&quot;-Ls &quot;* #,##0.00_-;_-&quot;Ls &quot;* \-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3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3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4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4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4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4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4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4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4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4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4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37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0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1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42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13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5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0" fillId="52" borderId="14" applyNumberFormat="0" applyAlignment="0" applyProtection="0"/>
    <xf numFmtId="0" fontId="46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78" fontId="2" fillId="46" borderId="0" applyBorder="0" applyProtection="0">
      <alignment/>
    </xf>
    <xf numFmtId="178" fontId="2" fillId="46" borderId="0" applyBorder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53" borderId="0" xfId="241" applyFont="1" applyFill="1" applyBorder="1" applyAlignment="1" applyProtection="1">
      <alignment vertical="center"/>
      <protection locked="0"/>
    </xf>
    <xf numFmtId="0" fontId="3" fillId="0" borderId="0" xfId="241" applyFont="1" applyBorder="1" applyProtection="1">
      <alignment/>
      <protection locked="0"/>
    </xf>
    <xf numFmtId="0" fontId="3" fillId="0" borderId="0" xfId="241" applyFont="1" applyProtection="1">
      <alignment/>
      <protection/>
    </xf>
    <xf numFmtId="0" fontId="3" fillId="0" borderId="0" xfId="241" applyFont="1" applyProtection="1">
      <alignment/>
      <protection locked="0"/>
    </xf>
    <xf numFmtId="0" fontId="9" fillId="0" borderId="0" xfId="241" applyFont="1" applyAlignment="1" applyProtection="1">
      <alignment horizontal="right"/>
      <protection locked="0"/>
    </xf>
    <xf numFmtId="0" fontId="3" fillId="53" borderId="0" xfId="241" applyFont="1" applyFill="1" applyBorder="1" applyAlignment="1" applyProtection="1">
      <alignment horizontal="center" vertical="center" wrapText="1"/>
      <protection/>
    </xf>
    <xf numFmtId="0" fontId="3" fillId="0" borderId="0" xfId="241" applyFont="1" applyBorder="1" applyAlignment="1" applyProtection="1">
      <alignment horizontal="center" wrapText="1"/>
      <protection/>
    </xf>
    <xf numFmtId="0" fontId="5" fillId="53" borderId="0" xfId="241" applyFont="1" applyFill="1" applyBorder="1" applyAlignment="1" applyProtection="1">
      <alignment horizontal="center" vertical="center" wrapText="1"/>
      <protection/>
    </xf>
    <xf numFmtId="0" fontId="5" fillId="0" borderId="0" xfId="241" applyFont="1" applyBorder="1" applyAlignment="1" applyProtection="1">
      <alignment horizontal="center" wrapText="1"/>
      <protection/>
    </xf>
    <xf numFmtId="0" fontId="3" fillId="53" borderId="0" xfId="241" applyFont="1" applyFill="1" applyBorder="1" applyAlignment="1" applyProtection="1">
      <alignment horizontal="center" vertical="center" wrapText="1"/>
      <protection locked="0"/>
    </xf>
    <xf numFmtId="0" fontId="3" fillId="0" borderId="0" xfId="24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wrapText="1"/>
      <protection locked="0"/>
    </xf>
    <xf numFmtId="49" fontId="5" fillId="0" borderId="0" xfId="241" applyNumberFormat="1" applyFont="1" applyBorder="1" applyAlignment="1" applyProtection="1">
      <alignment vertical="center" wrapText="1"/>
      <protection locked="0"/>
    </xf>
    <xf numFmtId="49" fontId="9" fillId="0" borderId="0" xfId="241" applyNumberFormat="1" applyFont="1" applyAlignment="1" applyProtection="1">
      <alignment vertical="center" wrapText="1"/>
      <protection/>
    </xf>
    <xf numFmtId="0" fontId="5" fillId="0" borderId="0" xfId="241" applyFont="1" applyBorder="1" applyAlignment="1" applyProtection="1">
      <alignment vertical="center"/>
      <protection/>
    </xf>
    <xf numFmtId="49" fontId="3" fillId="0" borderId="0" xfId="241" applyNumberFormat="1" applyFont="1" applyFill="1" applyBorder="1" applyProtection="1">
      <alignment/>
      <protection locked="0"/>
    </xf>
    <xf numFmtId="49" fontId="3" fillId="0" borderId="0" xfId="241" applyNumberFormat="1" applyFont="1" applyBorder="1" applyProtection="1">
      <alignment/>
      <protection locked="0"/>
    </xf>
    <xf numFmtId="49" fontId="10" fillId="0" borderId="0" xfId="241" applyNumberFormat="1" applyFont="1" applyProtection="1">
      <alignment/>
      <protection locked="0"/>
    </xf>
    <xf numFmtId="0" fontId="10" fillId="0" borderId="0" xfId="241" applyFont="1" applyProtection="1">
      <alignment/>
      <protection locked="0"/>
    </xf>
    <xf numFmtId="0" fontId="3" fillId="0" borderId="0" xfId="241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9" xfId="241" applyFont="1" applyFill="1" applyBorder="1" applyAlignment="1" applyProtection="1">
      <alignment horizontal="center" vertical="center" wrapText="1"/>
      <protection/>
    </xf>
    <xf numFmtId="0" fontId="6" fillId="0" borderId="19" xfId="241" applyFont="1" applyFill="1" applyBorder="1" applyAlignment="1" applyProtection="1">
      <alignment horizontal="center" vertical="center" wrapText="1"/>
      <protection/>
    </xf>
    <xf numFmtId="49" fontId="5" fillId="0" borderId="19" xfId="241" applyNumberFormat="1" applyFont="1" applyBorder="1" applyAlignment="1" applyProtection="1">
      <alignment horizontal="center" wrapText="1"/>
      <protection/>
    </xf>
    <xf numFmtId="0" fontId="5" fillId="0" borderId="19" xfId="241" applyFont="1" applyFill="1" applyBorder="1" applyAlignment="1" applyProtection="1">
      <alignment horizontal="center" wrapText="1"/>
      <protection/>
    </xf>
    <xf numFmtId="0" fontId="5" fillId="0" borderId="19" xfId="241" applyFont="1" applyBorder="1" applyAlignment="1" applyProtection="1">
      <alignment horizontal="center" wrapText="1"/>
      <protection/>
    </xf>
    <xf numFmtId="49" fontId="7" fillId="0" borderId="19" xfId="241" applyNumberFormat="1" applyFont="1" applyBorder="1" applyAlignment="1" applyProtection="1">
      <alignment wrapText="1"/>
      <protection/>
    </xf>
    <xf numFmtId="49" fontId="4" fillId="0" borderId="19" xfId="241" applyNumberFormat="1" applyFont="1" applyBorder="1" applyAlignment="1" applyProtection="1">
      <alignment horizontal="left" wrapText="1"/>
      <protection/>
    </xf>
    <xf numFmtId="0" fontId="5" fillId="0" borderId="19" xfId="241" applyFont="1" applyFill="1" applyBorder="1" applyAlignment="1" applyProtection="1">
      <alignment horizontal="center"/>
      <protection/>
    </xf>
    <xf numFmtId="49" fontId="5" fillId="0" borderId="19" xfId="241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241" applyNumberFormat="1" applyFont="1" applyFill="1" applyBorder="1" applyAlignment="1" applyProtection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vertical="center" wrapText="1"/>
      <protection locked="0"/>
    </xf>
    <xf numFmtId="49" fontId="3" fillId="0" borderId="19" xfId="241" applyNumberFormat="1" applyFont="1" applyBorder="1" applyAlignment="1" applyProtection="1">
      <alignment wrapText="1"/>
      <protection locked="0"/>
    </xf>
    <xf numFmtId="49" fontId="6" fillId="0" borderId="19" xfId="241" applyNumberFormat="1" applyFont="1" applyBorder="1" applyAlignment="1" applyProtection="1">
      <alignment wrapText="1"/>
      <protection locked="0"/>
    </xf>
    <xf numFmtId="0" fontId="5" fillId="0" borderId="19" xfId="241" applyFont="1" applyFill="1" applyBorder="1" applyAlignment="1" applyProtection="1">
      <alignment horizontal="right" vertical="center" wrapText="1"/>
      <protection locked="0"/>
    </xf>
    <xf numFmtId="0" fontId="5" fillId="0" borderId="19" xfId="241" applyFont="1" applyFill="1" applyBorder="1" applyAlignment="1" applyProtection="1">
      <alignment horizontal="right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  <xf numFmtId="49" fontId="6" fillId="0" borderId="19" xfId="241" applyNumberFormat="1" applyFont="1" applyBorder="1" applyAlignment="1" applyProtection="1">
      <alignment vertical="center" wrapText="1"/>
      <protection locked="0"/>
    </xf>
    <xf numFmtId="49" fontId="6" fillId="0" borderId="19" xfId="241" applyNumberFormat="1" applyFont="1" applyFill="1" applyBorder="1" applyAlignment="1" applyProtection="1">
      <alignment vertical="center" wrapText="1"/>
      <protection locked="0"/>
    </xf>
    <xf numFmtId="49" fontId="0" fillId="0" borderId="19" xfId="244" applyNumberFormat="1" applyFont="1" applyBorder="1" applyAlignment="1">
      <alignment vertical="center" wrapText="1"/>
      <protection/>
    </xf>
    <xf numFmtId="4" fontId="5" fillId="0" borderId="19" xfId="241" applyNumberFormat="1" applyFont="1" applyFill="1" applyBorder="1" applyAlignment="1" applyProtection="1">
      <alignment horizontal="right" vertical="center" wrapText="1"/>
      <protection/>
    </xf>
    <xf numFmtId="0" fontId="5" fillId="0" borderId="19" xfId="241" applyFont="1" applyFill="1" applyBorder="1" applyAlignment="1" applyProtection="1">
      <alignment horizontal="right" vertical="center" wrapText="1"/>
      <protection/>
    </xf>
    <xf numFmtId="3" fontId="6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241" applyNumberFormat="1" applyFont="1" applyBorder="1" applyAlignment="1" applyProtection="1">
      <alignment horizontal="left" wrapText="1"/>
      <protection locked="0"/>
    </xf>
    <xf numFmtId="49" fontId="5" fillId="0" borderId="0" xfId="241" applyNumberFormat="1" applyFont="1" applyBorder="1" applyAlignment="1" applyProtection="1">
      <alignment horizontal="left" vertical="center" wrapText="1"/>
      <protection/>
    </xf>
    <xf numFmtId="3" fontId="5" fillId="0" borderId="19" xfId="241" applyNumberFormat="1" applyFont="1" applyBorder="1" applyAlignment="1" applyProtection="1">
      <alignment horizontal="right" vertical="center"/>
      <protection locked="0"/>
    </xf>
    <xf numFmtId="3" fontId="6" fillId="0" borderId="19" xfId="241" applyNumberFormat="1" applyFont="1" applyBorder="1" applyAlignment="1">
      <alignment horizontal="right" vertical="center" wrapText="1"/>
      <protection/>
    </xf>
    <xf numFmtId="49" fontId="5" fillId="0" borderId="19" xfId="243" applyNumberFormat="1" applyFont="1" applyBorder="1" applyAlignment="1">
      <alignment horizontal="center" vertical="center"/>
      <protection/>
    </xf>
    <xf numFmtId="3" fontId="5" fillId="0" borderId="19" xfId="243" applyNumberFormat="1" applyFont="1" applyBorder="1" applyAlignment="1">
      <alignment horizontal="right" vertical="center"/>
      <protection/>
    </xf>
    <xf numFmtId="3" fontId="5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5" fillId="0" borderId="19" xfId="241" applyNumberFormat="1" applyFont="1" applyBorder="1" applyAlignment="1" applyProtection="1">
      <alignment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9" fontId="5" fillId="0" borderId="19" xfId="241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vertical="center" wrapText="1"/>
    </xf>
    <xf numFmtId="49" fontId="5" fillId="0" borderId="19" xfId="241" applyNumberFormat="1" applyFont="1" applyBorder="1" applyAlignment="1">
      <alignment horizontal="center" wrapText="1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49" fontId="5" fillId="0" borderId="20" xfId="241" applyNumberFormat="1" applyFont="1" applyBorder="1" applyAlignment="1">
      <alignment horizontal="center" wrapText="1"/>
      <protection/>
    </xf>
    <xf numFmtId="49" fontId="5" fillId="0" borderId="21" xfId="241" applyNumberFormat="1" applyFont="1" applyBorder="1" applyAlignment="1" applyProtection="1">
      <alignment horizontal="left" vertical="center" wrapText="1"/>
      <protection locked="0"/>
    </xf>
    <xf numFmtId="49" fontId="5" fillId="0" borderId="21" xfId="241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right" vertical="center"/>
    </xf>
    <xf numFmtId="49" fontId="3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wrapText="1"/>
      <protection locked="0"/>
    </xf>
    <xf numFmtId="49" fontId="5" fillId="0" borderId="22" xfId="241" applyNumberFormat="1" applyFont="1" applyBorder="1" applyAlignment="1" applyProtection="1">
      <alignment horizontal="left" vertical="center" wrapText="1"/>
      <protection locked="0"/>
    </xf>
    <xf numFmtId="49" fontId="5" fillId="0" borderId="22" xfId="241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3" xfId="241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3" fontId="6" fillId="0" borderId="22" xfId="242" applyNumberFormat="1" applyFont="1" applyBorder="1" applyAlignment="1">
      <alignment horizontal="right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49" fontId="5" fillId="0" borderId="22" xfId="242" applyNumberFormat="1" applyFont="1" applyBorder="1" applyAlignment="1" applyProtection="1">
      <alignment horizontal="left" vertical="center" wrapText="1"/>
      <protection locked="0"/>
    </xf>
    <xf numFmtId="49" fontId="5" fillId="0" borderId="22" xfId="242" applyNumberFormat="1" applyFont="1" applyBorder="1" applyAlignment="1" applyProtection="1">
      <alignment horizontal="center" vertical="center" wrapText="1"/>
      <protection locked="0"/>
    </xf>
    <xf numFmtId="3" fontId="5" fillId="0" borderId="22" xfId="241" applyNumberFormat="1" applyFont="1" applyBorder="1" applyAlignment="1" applyProtection="1">
      <alignment horizontal="right" vertical="center"/>
      <protection locked="0"/>
    </xf>
    <xf numFmtId="3" fontId="6" fillId="0" borderId="22" xfId="241" applyNumberFormat="1" applyFont="1" applyBorder="1" applyAlignment="1">
      <alignment horizontal="right" vertical="center" wrapText="1"/>
      <protection/>
    </xf>
    <xf numFmtId="3" fontId="6" fillId="0" borderId="19" xfId="241" applyNumberFormat="1" applyFont="1" applyFill="1" applyBorder="1" applyAlignment="1" applyProtection="1">
      <alignment horizontal="right" vertical="center"/>
      <protection locked="0"/>
    </xf>
    <xf numFmtId="3" fontId="5" fillId="0" borderId="22" xfId="242" applyNumberFormat="1" applyFont="1" applyBorder="1" applyAlignment="1" applyProtection="1">
      <alignment horizontal="right" vertical="center"/>
      <protection locked="0"/>
    </xf>
    <xf numFmtId="3" fontId="6" fillId="0" borderId="21" xfId="241" applyNumberFormat="1" applyFont="1" applyBorder="1" applyAlignment="1">
      <alignment horizontal="right" vertical="center" wrapText="1"/>
      <protection/>
    </xf>
    <xf numFmtId="3" fontId="6" fillId="0" borderId="24" xfId="241" applyNumberFormat="1" applyFont="1" applyBorder="1" applyAlignment="1">
      <alignment horizontal="right" vertical="center" wrapText="1"/>
      <protection/>
    </xf>
    <xf numFmtId="0" fontId="5" fillId="0" borderId="19" xfId="241" applyFont="1" applyBorder="1" applyAlignment="1" applyProtection="1">
      <alignment horizontal="center" wrapText="1"/>
      <protection locked="0"/>
    </xf>
    <xf numFmtId="0" fontId="5" fillId="0" borderId="2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  <xf numFmtId="49" fontId="5" fillId="0" borderId="19" xfId="241" applyNumberFormat="1" applyFont="1" applyFill="1" applyBorder="1" applyAlignment="1" applyProtection="1">
      <alignment horizontal="center" vertical="center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49" fontId="5" fillId="0" borderId="19" xfId="241" applyNumberFormat="1" applyFont="1" applyBorder="1" applyAlignment="1" applyProtection="1">
      <alignment horizontal="center" vertical="center" wrapText="1"/>
      <protection/>
    </xf>
  </cellXfs>
  <cellStyles count="252">
    <cellStyle name="Normal" xfId="0"/>
    <cellStyle name="20% - Accent1" xfId="15"/>
    <cellStyle name="20% - Accent1 2 2" xfId="16"/>
    <cellStyle name="20% - Accent1 2 2 2" xfId="17"/>
    <cellStyle name="20% - Accent1 2 2 2 2" xfId="18"/>
    <cellStyle name="20% - Accent1 2 2 3" xfId="19"/>
    <cellStyle name="20% - Accent1 2 2 3 2" xfId="20"/>
    <cellStyle name="20% - Accent1 2 2 4" xfId="21"/>
    <cellStyle name="20% - Accent2" xfId="22"/>
    <cellStyle name="20% - Accent2 2 2" xfId="23"/>
    <cellStyle name="20% - Accent2 2 2 2" xfId="24"/>
    <cellStyle name="20% - Accent2 2 2 2 2" xfId="25"/>
    <cellStyle name="20% - Accent2 2 2 3" xfId="26"/>
    <cellStyle name="20% - Accent2 2 2 3 2" xfId="27"/>
    <cellStyle name="20% - Accent2 2 2 4" xfId="28"/>
    <cellStyle name="20% - Accent3" xfId="29"/>
    <cellStyle name="20% - Accent3 2 2" xfId="30"/>
    <cellStyle name="20% - Accent3 2 2 2" xfId="31"/>
    <cellStyle name="20% - Accent3 2 2 2 2" xfId="32"/>
    <cellStyle name="20% - Accent3 2 2 3" xfId="33"/>
    <cellStyle name="20% - Accent3 2 2 3 2" xfId="34"/>
    <cellStyle name="20% - Accent3 2 2 4" xfId="35"/>
    <cellStyle name="20% - Accent4" xfId="36"/>
    <cellStyle name="20% - Accent4 2 2" xfId="37"/>
    <cellStyle name="20% - Accent4 2 2 2" xfId="38"/>
    <cellStyle name="20% - Accent4 2 2 2 2" xfId="39"/>
    <cellStyle name="20% - Accent4 2 2 3" xfId="40"/>
    <cellStyle name="20% - Accent4 2 2 3 2" xfId="41"/>
    <cellStyle name="20% - Accent4 2 2 4" xfId="42"/>
    <cellStyle name="20% - Accent5" xfId="43"/>
    <cellStyle name="20% - Accent5 2 2" xfId="44"/>
    <cellStyle name="20% - Accent5 2 2 2" xfId="45"/>
    <cellStyle name="20% - Accent5 2 2 2 2" xfId="46"/>
    <cellStyle name="20% - Accent5 2 2 3" xfId="47"/>
    <cellStyle name="20% - Accent5 2 2 3 2" xfId="48"/>
    <cellStyle name="20% - Accent5 2 2 4" xfId="49"/>
    <cellStyle name="20% - Accent6" xfId="50"/>
    <cellStyle name="20% - Accent6 2 2" xfId="51"/>
    <cellStyle name="20% - Accent6 2 2 2" xfId="52"/>
    <cellStyle name="20% - Accent6 2 2 2 2" xfId="53"/>
    <cellStyle name="20% - Accent6 2 2 3" xfId="54"/>
    <cellStyle name="20% - Accent6 2 2 3 2" xfId="55"/>
    <cellStyle name="20% - Accent6 2 2 4" xfId="56"/>
    <cellStyle name="40% - Accent1" xfId="57"/>
    <cellStyle name="40% - Accent1 2 2" xfId="58"/>
    <cellStyle name="40% - Accent1 2 2 2" xfId="59"/>
    <cellStyle name="40% - Accent1 2 2 2 2" xfId="60"/>
    <cellStyle name="40% - Accent1 2 2 3" xfId="61"/>
    <cellStyle name="40% - Accent1 2 2 3 2" xfId="62"/>
    <cellStyle name="40% - Accent1 2 2 4" xfId="63"/>
    <cellStyle name="40% - Accent2" xfId="64"/>
    <cellStyle name="40% - Accent2 2 2" xfId="65"/>
    <cellStyle name="40% - Accent2 2 2 2" xfId="66"/>
    <cellStyle name="40% - Accent2 2 2 2 2" xfId="67"/>
    <cellStyle name="40% - Accent2 2 2 3" xfId="68"/>
    <cellStyle name="40% - Accent2 2 2 3 2" xfId="69"/>
    <cellStyle name="40% - Accent2 2 2 4" xfId="70"/>
    <cellStyle name="40% - Accent3" xfId="71"/>
    <cellStyle name="40% - Accent3 2 2" xfId="72"/>
    <cellStyle name="40% - Accent3 2 2 2" xfId="73"/>
    <cellStyle name="40% - Accent3 2 2 2 2" xfId="74"/>
    <cellStyle name="40% - Accent3 2 2 3" xfId="75"/>
    <cellStyle name="40% - Accent3 2 2 3 2" xfId="76"/>
    <cellStyle name="40% - Accent3 2 2 4" xfId="77"/>
    <cellStyle name="40% - Accent4" xfId="78"/>
    <cellStyle name="40% - Accent4 2 2" xfId="79"/>
    <cellStyle name="40% - Accent4 2 2 2" xfId="80"/>
    <cellStyle name="40% - Accent4 2 2 2 2" xfId="81"/>
    <cellStyle name="40% - Accent4 2 2 3" xfId="82"/>
    <cellStyle name="40% - Accent4 2 2 3 2" xfId="83"/>
    <cellStyle name="40% - Accent4 2 2 4" xfId="84"/>
    <cellStyle name="40% - Accent5" xfId="85"/>
    <cellStyle name="40% - Accent5 2 2" xfId="86"/>
    <cellStyle name="40% - Accent5 2 2 2" xfId="87"/>
    <cellStyle name="40% - Accent5 2 2 2 2" xfId="88"/>
    <cellStyle name="40% - Accent5 2 2 3" xfId="89"/>
    <cellStyle name="40% - Accent5 2 2 3 2" xfId="90"/>
    <cellStyle name="40% - Accent5 2 2 4" xfId="91"/>
    <cellStyle name="40% - Accent6" xfId="92"/>
    <cellStyle name="40% - Accent6 2 2" xfId="93"/>
    <cellStyle name="40% - Accent6 2 2 2" xfId="94"/>
    <cellStyle name="40% - Accent6 2 2 2 2" xfId="95"/>
    <cellStyle name="40% - Accent6 2 2 3" xfId="96"/>
    <cellStyle name="40% - Accent6 2 2 3 2" xfId="97"/>
    <cellStyle name="40% - Accent6 2 2 4" xfId="98"/>
    <cellStyle name="60% - Accent1" xfId="99"/>
    <cellStyle name="60% - Accent1 2 2" xfId="100"/>
    <cellStyle name="60% - Accent1 2 2 2" xfId="101"/>
    <cellStyle name="60% - Accent2" xfId="102"/>
    <cellStyle name="60% - Accent2 2 2" xfId="103"/>
    <cellStyle name="60% - Accent2 2 2 2" xfId="104"/>
    <cellStyle name="60% - Accent3" xfId="105"/>
    <cellStyle name="60% - Accent3 2 2" xfId="106"/>
    <cellStyle name="60% - Accent3 2 2 2" xfId="107"/>
    <cellStyle name="60% - Accent4" xfId="108"/>
    <cellStyle name="60% - Accent4 2 2" xfId="109"/>
    <cellStyle name="60% - Accent4 2 2 2" xfId="110"/>
    <cellStyle name="60% - Accent5" xfId="111"/>
    <cellStyle name="60% - Accent5 2 2" xfId="112"/>
    <cellStyle name="60% - Accent5 2 2 2" xfId="113"/>
    <cellStyle name="60% - Accent6" xfId="114"/>
    <cellStyle name="60% - Accent6 2 2" xfId="115"/>
    <cellStyle name="60% - Accent6 2 2 2" xfId="116"/>
    <cellStyle name="Accent1" xfId="117"/>
    <cellStyle name="Accent1 2 2" xfId="118"/>
    <cellStyle name="Accent1 2 2 2" xfId="119"/>
    <cellStyle name="Accent2" xfId="120"/>
    <cellStyle name="Accent2 2 2" xfId="121"/>
    <cellStyle name="Accent2 2 2 2" xfId="122"/>
    <cellStyle name="Accent3" xfId="123"/>
    <cellStyle name="Accent3 2 2" xfId="124"/>
    <cellStyle name="Accent3 2 2 2" xfId="125"/>
    <cellStyle name="Accent4" xfId="126"/>
    <cellStyle name="Accent4 2 2" xfId="127"/>
    <cellStyle name="Accent4 2 2 2" xfId="128"/>
    <cellStyle name="Accent5" xfId="129"/>
    <cellStyle name="Accent5 2 2" xfId="130"/>
    <cellStyle name="Accent5 2 2 2" xfId="131"/>
    <cellStyle name="Accent6" xfId="132"/>
    <cellStyle name="Accent6 2 2" xfId="133"/>
    <cellStyle name="Accent6 2 2 2" xfId="134"/>
    <cellStyle name="Bad" xfId="135"/>
    <cellStyle name="Bad 2 2" xfId="136"/>
    <cellStyle name="Bad 2 2 2" xfId="137"/>
    <cellStyle name="Calculation" xfId="138"/>
    <cellStyle name="Calculation 2 2" xfId="139"/>
    <cellStyle name="Calculation 2 2 2" xfId="140"/>
    <cellStyle name="Check Cell" xfId="141"/>
    <cellStyle name="Check Cell 2 2" xfId="142"/>
    <cellStyle name="Check Cell 2 2 2" xfId="143"/>
    <cellStyle name="Comma" xfId="144"/>
    <cellStyle name="Comma [0]" xfId="145"/>
    <cellStyle name="Currency" xfId="146"/>
    <cellStyle name="Currency [0]" xfId="147"/>
    <cellStyle name="Currency 2" xfId="148"/>
    <cellStyle name="Currency 2 2" xfId="149"/>
    <cellStyle name="Currency 2 2 2" xfId="150"/>
    <cellStyle name="Currency 2 3" xfId="151"/>
    <cellStyle name="Explanatory Text" xfId="152"/>
    <cellStyle name="Explanatory Text 2 2" xfId="153"/>
    <cellStyle name="Explanatory Text 2 2 2" xfId="154"/>
    <cellStyle name="Good" xfId="155"/>
    <cellStyle name="Good 2 2" xfId="156"/>
    <cellStyle name="Good 2 2 2" xfId="157"/>
    <cellStyle name="Heading 1" xfId="158"/>
    <cellStyle name="Heading 1 2 2" xfId="159"/>
    <cellStyle name="Heading 1 2 2 2" xfId="160"/>
    <cellStyle name="Heading 2" xfId="161"/>
    <cellStyle name="Heading 2 2 2" xfId="162"/>
    <cellStyle name="Heading 2 2 2 2" xfId="163"/>
    <cellStyle name="Heading 3" xfId="164"/>
    <cellStyle name="Heading 3 2 2" xfId="165"/>
    <cellStyle name="Heading 3 2 2 2" xfId="166"/>
    <cellStyle name="Heading 4" xfId="167"/>
    <cellStyle name="Heading 4 2 2" xfId="168"/>
    <cellStyle name="Heading 4 2 2 2" xfId="169"/>
    <cellStyle name="Input" xfId="170"/>
    <cellStyle name="Input 2 2" xfId="171"/>
    <cellStyle name="Input 2 2 2" xfId="172"/>
    <cellStyle name="Linked Cell" xfId="173"/>
    <cellStyle name="Linked Cell 2 2" xfId="174"/>
    <cellStyle name="Linked Cell 2 2 2" xfId="175"/>
    <cellStyle name="Neutral" xfId="176"/>
    <cellStyle name="Neutral 2 2" xfId="177"/>
    <cellStyle name="Neutral 2 2 2" xfId="178"/>
    <cellStyle name="Normal 10" xfId="179"/>
    <cellStyle name="Normal 10 2" xfId="180"/>
    <cellStyle name="Normal 10 2 2" xfId="181"/>
    <cellStyle name="Normal 10 3" xfId="182"/>
    <cellStyle name="Normal 11" xfId="183"/>
    <cellStyle name="Normal 11 2" xfId="184"/>
    <cellStyle name="Normal 11 2 2" xfId="185"/>
    <cellStyle name="Normal 11 3" xfId="186"/>
    <cellStyle name="Normal 12" xfId="187"/>
    <cellStyle name="Normal 12 2" xfId="188"/>
    <cellStyle name="Normal 12 2 2" xfId="189"/>
    <cellStyle name="Normal 12 3" xfId="190"/>
    <cellStyle name="Normal 13" xfId="191"/>
    <cellStyle name="Normal 13 2" xfId="192"/>
    <cellStyle name="Normal 13 2 2" xfId="193"/>
    <cellStyle name="Normal 13 3" xfId="194"/>
    <cellStyle name="Normal 14" xfId="195"/>
    <cellStyle name="Normal 14 2" xfId="196"/>
    <cellStyle name="Normal 14 2 2" xfId="197"/>
    <cellStyle name="Normal 14 3" xfId="198"/>
    <cellStyle name="Normal 15" xfId="199"/>
    <cellStyle name="Normal 15 2" xfId="200"/>
    <cellStyle name="Normal 15 2 2" xfId="201"/>
    <cellStyle name="Normal 15 3" xfId="202"/>
    <cellStyle name="Normal 16" xfId="203"/>
    <cellStyle name="Normal 16 2" xfId="204"/>
    <cellStyle name="Normal 16 2 2" xfId="205"/>
    <cellStyle name="Normal 16 3" xfId="206"/>
    <cellStyle name="Normal 18" xfId="207"/>
    <cellStyle name="Normal 18 2" xfId="208"/>
    <cellStyle name="Normal 2" xfId="209"/>
    <cellStyle name="Normal 2 2" xfId="210"/>
    <cellStyle name="Normal 2 2 2" xfId="211"/>
    <cellStyle name="Normal 2 3" xfId="212"/>
    <cellStyle name="Normal 20" xfId="213"/>
    <cellStyle name="Normal 20 2" xfId="214"/>
    <cellStyle name="Normal 20 2 2" xfId="215"/>
    <cellStyle name="Normal 20 3" xfId="216"/>
    <cellStyle name="Normal 21" xfId="217"/>
    <cellStyle name="Normal 21 2" xfId="218"/>
    <cellStyle name="Normal 21 2 2" xfId="219"/>
    <cellStyle name="Normal 21 3" xfId="220"/>
    <cellStyle name="Normal 3" xfId="221"/>
    <cellStyle name="Normal 3 2" xfId="222"/>
    <cellStyle name="Normal 3 2 2" xfId="223"/>
    <cellStyle name="Normal 4" xfId="224"/>
    <cellStyle name="Normal 4 2" xfId="225"/>
    <cellStyle name="Normal 4 2 2" xfId="226"/>
    <cellStyle name="Normal 4 3" xfId="227"/>
    <cellStyle name="Normal 4_7-4" xfId="228"/>
    <cellStyle name="Normal 5" xfId="229"/>
    <cellStyle name="Normal 5 2" xfId="230"/>
    <cellStyle name="Normal 5 2 2" xfId="231"/>
    <cellStyle name="Normal 5 3" xfId="232"/>
    <cellStyle name="Normal 8" xfId="233"/>
    <cellStyle name="Normal 8 2" xfId="234"/>
    <cellStyle name="Normal 8 2 2" xfId="235"/>
    <cellStyle name="Normal 8 3" xfId="236"/>
    <cellStyle name="Normal 9" xfId="237"/>
    <cellStyle name="Normal 9 2" xfId="238"/>
    <cellStyle name="Normal 9 2 2" xfId="239"/>
    <cellStyle name="Normal 9 3" xfId="240"/>
    <cellStyle name="Normal_Pamatformas" xfId="241"/>
    <cellStyle name="Normal_Pamatformas 2" xfId="242"/>
    <cellStyle name="Normal_Veidlapa_2008_oktobris_(4.piel)" xfId="243"/>
    <cellStyle name="Normal_Veidlapa_2008_oktobris_(5.piel)_(2)" xfId="244"/>
    <cellStyle name="Note" xfId="245"/>
    <cellStyle name="Note 2 2" xfId="246"/>
    <cellStyle name="Note 2 2 2" xfId="247"/>
    <cellStyle name="Output" xfId="248"/>
    <cellStyle name="Output 2 2" xfId="249"/>
    <cellStyle name="Output 2 2 2" xfId="250"/>
    <cellStyle name="Parastais_FMLikp01_p05_221205_pap_afp_makp" xfId="251"/>
    <cellStyle name="Percent" xfId="252"/>
    <cellStyle name="Style 1" xfId="253"/>
    <cellStyle name="Style 1 2" xfId="254"/>
    <cellStyle name="Title" xfId="255"/>
    <cellStyle name="Title 2 2" xfId="256"/>
    <cellStyle name="Title 2 2 2" xfId="257"/>
    <cellStyle name="Total" xfId="258"/>
    <cellStyle name="Total 2 2" xfId="259"/>
    <cellStyle name="Total 2 2 2" xfId="260"/>
    <cellStyle name="V?st." xfId="261"/>
    <cellStyle name="V?st. 2" xfId="262"/>
    <cellStyle name="Warning Text" xfId="263"/>
    <cellStyle name="Warning Text 2 2" xfId="264"/>
    <cellStyle name="Warning Text 2 2 2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showGridLines="0" tabSelected="1" zoomScale="130" zoomScaleNormal="130" zoomScaleSheetLayoutView="100" zoomScalePageLayoutView="0" workbookViewId="0" topLeftCell="E1">
      <pane ySplit="1" topLeftCell="A2" activePane="bottomLeft" state="frozen"/>
      <selection pane="topLeft" activeCell="A1" sqref="A1"/>
      <selection pane="bottomLeft" activeCell="D90" sqref="D90"/>
    </sheetView>
  </sheetViews>
  <sheetFormatPr defaultColWidth="9.140625" defaultRowHeight="12.75"/>
  <cols>
    <col min="1" max="1" width="9.140625" style="9" customWidth="1"/>
    <col min="2" max="2" width="11.140625" style="10" customWidth="1"/>
    <col min="3" max="3" width="29.7109375" style="11" customWidth="1"/>
    <col min="4" max="4" width="39.00390625" style="11" customWidth="1"/>
    <col min="5" max="7" width="12.28125" style="11" customWidth="1"/>
    <col min="8" max="15" width="13.28125" style="12" customWidth="1"/>
  </cols>
  <sheetData>
    <row r="1" spans="1:15" s="2" customFormat="1" ht="15.75">
      <c r="A1" s="1"/>
      <c r="B1" s="69"/>
      <c r="C1" s="101" t="s">
        <v>325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2" customFormat="1" ht="15.75" customHeight="1">
      <c r="A2" s="1"/>
      <c r="B2" s="102" t="s">
        <v>24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2" customFormat="1" ht="24.75" customHeight="1">
      <c r="A3" s="1"/>
      <c r="B3" s="103" t="s">
        <v>324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s="2" customFormat="1" ht="46.5" customHeight="1">
      <c r="A4" s="31"/>
      <c r="B4" s="31"/>
      <c r="C4" s="104" t="s">
        <v>317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s="10" customFormat="1" ht="15.75">
      <c r="A5" s="9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3" t="s">
        <v>4</v>
      </c>
    </row>
    <row r="6" spans="1:15" s="10" customFormat="1" ht="15.75" customHeight="1">
      <c r="A6" s="9"/>
      <c r="B6" s="106" t="s">
        <v>10</v>
      </c>
      <c r="C6" s="106" t="s">
        <v>5</v>
      </c>
      <c r="D6" s="109" t="s">
        <v>6</v>
      </c>
      <c r="E6" s="106" t="s">
        <v>11</v>
      </c>
      <c r="F6" s="106" t="s">
        <v>20</v>
      </c>
      <c r="G6" s="106" t="s">
        <v>21</v>
      </c>
      <c r="H6" s="100" t="s">
        <v>12</v>
      </c>
      <c r="I6" s="100"/>
      <c r="J6" s="100"/>
      <c r="K6" s="100"/>
      <c r="L6" s="100"/>
      <c r="M6" s="100"/>
      <c r="N6" s="100"/>
      <c r="O6" s="100"/>
    </row>
    <row r="7" spans="1:15" s="15" customFormat="1" ht="45.75" customHeight="1">
      <c r="A7" s="14"/>
      <c r="B7" s="106"/>
      <c r="C7" s="106"/>
      <c r="D7" s="109"/>
      <c r="E7" s="106"/>
      <c r="F7" s="106"/>
      <c r="G7" s="106"/>
      <c r="H7" s="32">
        <v>2024</v>
      </c>
      <c r="I7" s="32">
        <v>2025</v>
      </c>
      <c r="J7" s="32">
        <v>2026</v>
      </c>
      <c r="K7" s="32">
        <v>2027</v>
      </c>
      <c r="L7" s="32">
        <v>2028</v>
      </c>
      <c r="M7" s="32">
        <v>2029</v>
      </c>
      <c r="N7" s="32" t="s">
        <v>13</v>
      </c>
      <c r="O7" s="33" t="s">
        <v>14</v>
      </c>
    </row>
    <row r="8" spans="1:15" s="17" customFormat="1" ht="12.75">
      <c r="A8" s="16"/>
      <c r="B8" s="34" t="s">
        <v>0</v>
      </c>
      <c r="C8" s="34" t="s">
        <v>1</v>
      </c>
      <c r="D8" s="34" t="s">
        <v>7</v>
      </c>
      <c r="E8" s="34" t="s">
        <v>8</v>
      </c>
      <c r="F8" s="34" t="s">
        <v>22</v>
      </c>
      <c r="G8" s="34" t="s">
        <v>23</v>
      </c>
      <c r="H8" s="35">
        <v>1</v>
      </c>
      <c r="I8" s="35">
        <v>2</v>
      </c>
      <c r="J8" s="35">
        <v>3</v>
      </c>
      <c r="K8" s="35">
        <v>4</v>
      </c>
      <c r="L8" s="35">
        <v>5</v>
      </c>
      <c r="M8" s="35">
        <v>6</v>
      </c>
      <c r="N8" s="36">
        <v>7</v>
      </c>
      <c r="O8" s="36">
        <v>8</v>
      </c>
    </row>
    <row r="9" spans="1:15" s="17" customFormat="1" ht="12.75">
      <c r="A9" s="16"/>
      <c r="B9" s="34"/>
      <c r="C9" s="34"/>
      <c r="D9" s="34"/>
      <c r="E9" s="34"/>
      <c r="F9" s="34"/>
      <c r="G9" s="34"/>
      <c r="H9" s="36"/>
      <c r="I9" s="36"/>
      <c r="J9" s="36"/>
      <c r="K9" s="36"/>
      <c r="L9" s="36"/>
      <c r="M9" s="36"/>
      <c r="N9" s="36"/>
      <c r="O9" s="36"/>
    </row>
    <row r="10" spans="1:15" s="17" customFormat="1" ht="15.75">
      <c r="A10" s="16"/>
      <c r="B10" s="34"/>
      <c r="C10" s="37" t="s">
        <v>2</v>
      </c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</row>
    <row r="11" spans="1:15" s="17" customFormat="1" ht="25.5">
      <c r="A11" s="16"/>
      <c r="B11" s="70" t="s">
        <v>25</v>
      </c>
      <c r="C11" s="48" t="s">
        <v>94</v>
      </c>
      <c r="D11" s="48" t="s">
        <v>326</v>
      </c>
      <c r="E11" s="42" t="s">
        <v>95</v>
      </c>
      <c r="F11" s="65" t="s">
        <v>96</v>
      </c>
      <c r="G11" s="64">
        <v>621688</v>
      </c>
      <c r="H11" s="94">
        <v>54711</v>
      </c>
      <c r="I11" s="94">
        <v>52293</v>
      </c>
      <c r="J11" s="94">
        <v>50366</v>
      </c>
      <c r="K11" s="94">
        <v>48434</v>
      </c>
      <c r="L11" s="94">
        <v>0</v>
      </c>
      <c r="M11" s="94">
        <v>0</v>
      </c>
      <c r="N11" s="94">
        <v>0</v>
      </c>
      <c r="O11" s="58">
        <f aca="true" t="shared" si="0" ref="O11:O16">SUM(H11:N11)</f>
        <v>205804</v>
      </c>
    </row>
    <row r="12" spans="1:15" s="17" customFormat="1" ht="38.25">
      <c r="A12" s="16"/>
      <c r="B12" s="70" t="s">
        <v>26</v>
      </c>
      <c r="C12" s="48" t="s">
        <v>94</v>
      </c>
      <c r="D12" s="48" t="s">
        <v>97</v>
      </c>
      <c r="E12" s="42" t="s">
        <v>98</v>
      </c>
      <c r="F12" s="65" t="s">
        <v>99</v>
      </c>
      <c r="G12" s="64">
        <v>106326</v>
      </c>
      <c r="H12" s="94">
        <v>2847</v>
      </c>
      <c r="I12" s="94">
        <v>2713</v>
      </c>
      <c r="J12" s="94">
        <v>2622</v>
      </c>
      <c r="K12" s="94">
        <v>2531</v>
      </c>
      <c r="L12" s="94">
        <v>2441</v>
      </c>
      <c r="M12" s="94">
        <v>2349</v>
      </c>
      <c r="N12" s="94">
        <v>1703</v>
      </c>
      <c r="O12" s="58">
        <f t="shared" si="0"/>
        <v>17206</v>
      </c>
    </row>
    <row r="13" spans="1:15" s="17" customFormat="1" ht="25.5">
      <c r="A13" s="16"/>
      <c r="B13" s="70" t="s">
        <v>27</v>
      </c>
      <c r="C13" s="48" t="s">
        <v>94</v>
      </c>
      <c r="D13" s="48" t="s">
        <v>327</v>
      </c>
      <c r="E13" s="42" t="s">
        <v>101</v>
      </c>
      <c r="F13" s="65" t="s">
        <v>102</v>
      </c>
      <c r="G13" s="64">
        <v>338375</v>
      </c>
      <c r="H13" s="94">
        <v>9547</v>
      </c>
      <c r="I13" s="94">
        <v>9110</v>
      </c>
      <c r="J13" s="94">
        <v>8797</v>
      </c>
      <c r="K13" s="94">
        <v>8484</v>
      </c>
      <c r="L13" s="94">
        <v>8171</v>
      </c>
      <c r="M13" s="94">
        <v>7856</v>
      </c>
      <c r="N13" s="94">
        <v>17</v>
      </c>
      <c r="O13" s="58">
        <f t="shared" si="0"/>
        <v>51982</v>
      </c>
    </row>
    <row r="14" spans="1:15" s="17" customFormat="1" ht="51">
      <c r="A14" s="16"/>
      <c r="B14" s="70" t="s">
        <v>28</v>
      </c>
      <c r="C14" s="48" t="s">
        <v>94</v>
      </c>
      <c r="D14" s="48" t="s">
        <v>328</v>
      </c>
      <c r="E14" s="42" t="s">
        <v>95</v>
      </c>
      <c r="F14" s="65" t="s">
        <v>103</v>
      </c>
      <c r="G14" s="64">
        <v>219169</v>
      </c>
      <c r="H14" s="94">
        <v>11755</v>
      </c>
      <c r="I14" s="94">
        <v>11247</v>
      </c>
      <c r="J14" s="94">
        <v>5464</v>
      </c>
      <c r="K14" s="97">
        <v>0</v>
      </c>
      <c r="L14" s="94">
        <v>0</v>
      </c>
      <c r="M14" s="94">
        <v>0</v>
      </c>
      <c r="N14" s="94">
        <v>0</v>
      </c>
      <c r="O14" s="58">
        <f t="shared" si="0"/>
        <v>28466</v>
      </c>
    </row>
    <row r="15" spans="1:15" s="17" customFormat="1" ht="25.5">
      <c r="A15" s="16"/>
      <c r="B15" s="70" t="s">
        <v>29</v>
      </c>
      <c r="C15" s="48" t="s">
        <v>94</v>
      </c>
      <c r="D15" s="48" t="s">
        <v>104</v>
      </c>
      <c r="E15" s="42" t="s">
        <v>105</v>
      </c>
      <c r="F15" s="65" t="s">
        <v>106</v>
      </c>
      <c r="G15" s="64">
        <v>111569</v>
      </c>
      <c r="H15" s="94">
        <v>4473</v>
      </c>
      <c r="I15" s="94">
        <v>4340</v>
      </c>
      <c r="J15" s="94">
        <v>4207</v>
      </c>
      <c r="K15" s="94">
        <v>4073</v>
      </c>
      <c r="L15" s="94">
        <v>3942</v>
      </c>
      <c r="M15" s="94">
        <v>3807</v>
      </c>
      <c r="N15" s="94">
        <f>3673+8606</f>
        <v>12279</v>
      </c>
      <c r="O15" s="58">
        <f t="shared" si="0"/>
        <v>37121</v>
      </c>
    </row>
    <row r="16" spans="1:15" s="17" customFormat="1" ht="25.5">
      <c r="A16" s="16"/>
      <c r="B16" s="70" t="s">
        <v>30</v>
      </c>
      <c r="C16" s="48" t="s">
        <v>94</v>
      </c>
      <c r="D16" s="48" t="s">
        <v>107</v>
      </c>
      <c r="E16" s="42" t="s">
        <v>105</v>
      </c>
      <c r="F16" s="65" t="s">
        <v>106</v>
      </c>
      <c r="G16" s="64">
        <v>135823</v>
      </c>
      <c r="H16" s="94">
        <v>3165</v>
      </c>
      <c r="I16" s="94">
        <v>3070</v>
      </c>
      <c r="J16" s="94">
        <v>2976</v>
      </c>
      <c r="K16" s="94">
        <v>2882</v>
      </c>
      <c r="L16" s="94">
        <v>2789</v>
      </c>
      <c r="M16" s="94">
        <v>2693</v>
      </c>
      <c r="N16" s="94">
        <f>2599+6089</f>
        <v>8688</v>
      </c>
      <c r="O16" s="58">
        <f t="shared" si="0"/>
        <v>26263</v>
      </c>
    </row>
    <row r="17" spans="1:15" s="17" customFormat="1" ht="38.25">
      <c r="A17" s="16"/>
      <c r="B17" s="70" t="s">
        <v>31</v>
      </c>
      <c r="C17" s="48" t="s">
        <v>94</v>
      </c>
      <c r="D17" s="48" t="s">
        <v>329</v>
      </c>
      <c r="E17" s="42" t="s">
        <v>108</v>
      </c>
      <c r="F17" s="65" t="s">
        <v>109</v>
      </c>
      <c r="G17" s="64">
        <v>330545</v>
      </c>
      <c r="H17" s="94">
        <v>12079</v>
      </c>
      <c r="I17" s="94">
        <v>11497</v>
      </c>
      <c r="J17" s="94">
        <v>11158</v>
      </c>
      <c r="K17" s="94">
        <v>10818</v>
      </c>
      <c r="L17" s="94">
        <v>10483</v>
      </c>
      <c r="M17" s="94">
        <v>10137</v>
      </c>
      <c r="N17" s="94">
        <v>43525</v>
      </c>
      <c r="O17" s="58">
        <f aca="true" t="shared" si="1" ref="O17:O24">SUM(H17:N17)</f>
        <v>109697</v>
      </c>
    </row>
    <row r="18" spans="1:15" s="17" customFormat="1" ht="38.25">
      <c r="A18" s="16"/>
      <c r="B18" s="70" t="s">
        <v>32</v>
      </c>
      <c r="C18" s="48" t="s">
        <v>94</v>
      </c>
      <c r="D18" s="48" t="s">
        <v>110</v>
      </c>
      <c r="E18" s="42" t="s">
        <v>111</v>
      </c>
      <c r="F18" s="65" t="s">
        <v>112</v>
      </c>
      <c r="G18" s="64">
        <v>56741</v>
      </c>
      <c r="H18" s="94">
        <v>1577</v>
      </c>
      <c r="I18" s="94">
        <v>1498</v>
      </c>
      <c r="J18" s="94">
        <v>1462</v>
      </c>
      <c r="K18" s="94">
        <v>1427</v>
      </c>
      <c r="L18" s="94">
        <v>1392</v>
      </c>
      <c r="M18" s="94">
        <v>1355</v>
      </c>
      <c r="N18" s="94">
        <v>14138</v>
      </c>
      <c r="O18" s="58">
        <f t="shared" si="1"/>
        <v>22849</v>
      </c>
    </row>
    <row r="19" spans="1:15" s="17" customFormat="1" ht="38.25">
      <c r="A19" s="16"/>
      <c r="B19" s="70" t="s">
        <v>33</v>
      </c>
      <c r="C19" s="48" t="s">
        <v>94</v>
      </c>
      <c r="D19" s="48" t="s">
        <v>330</v>
      </c>
      <c r="E19" s="42" t="s">
        <v>113</v>
      </c>
      <c r="F19" s="65" t="s">
        <v>114</v>
      </c>
      <c r="G19" s="64">
        <v>855597</v>
      </c>
      <c r="H19" s="94">
        <v>9592</v>
      </c>
      <c r="I19" s="94">
        <v>9194</v>
      </c>
      <c r="J19" s="94">
        <v>8924</v>
      </c>
      <c r="K19" s="94">
        <v>8683</v>
      </c>
      <c r="L19" s="94">
        <v>8449</v>
      </c>
      <c r="M19" s="94">
        <v>8201</v>
      </c>
      <c r="N19" s="94">
        <v>62991</v>
      </c>
      <c r="O19" s="58">
        <f t="shared" si="1"/>
        <v>116034</v>
      </c>
    </row>
    <row r="20" spans="1:15" s="17" customFormat="1" ht="38.25">
      <c r="A20" s="16"/>
      <c r="B20" s="70" t="s">
        <v>34</v>
      </c>
      <c r="C20" s="48" t="s">
        <v>94</v>
      </c>
      <c r="D20" s="48" t="s">
        <v>331</v>
      </c>
      <c r="E20" s="42" t="s">
        <v>116</v>
      </c>
      <c r="F20" s="65" t="s">
        <v>117</v>
      </c>
      <c r="G20" s="64">
        <v>1033292</v>
      </c>
      <c r="H20" s="94">
        <v>28371</v>
      </c>
      <c r="I20" s="94">
        <v>27752</v>
      </c>
      <c r="J20" s="94">
        <v>26881</v>
      </c>
      <c r="K20" s="94">
        <v>25989</v>
      </c>
      <c r="L20" s="94">
        <v>25105</v>
      </c>
      <c r="M20" s="94">
        <v>24203</v>
      </c>
      <c r="N20" s="94">
        <v>45292</v>
      </c>
      <c r="O20" s="58">
        <f t="shared" si="1"/>
        <v>203593</v>
      </c>
    </row>
    <row r="21" spans="1:15" s="17" customFormat="1" ht="38.25">
      <c r="A21" s="16"/>
      <c r="B21" s="70" t="s">
        <v>36</v>
      </c>
      <c r="C21" s="48" t="s">
        <v>94</v>
      </c>
      <c r="D21" s="48" t="s">
        <v>332</v>
      </c>
      <c r="E21" s="42" t="s">
        <v>118</v>
      </c>
      <c r="F21" s="65" t="s">
        <v>119</v>
      </c>
      <c r="G21" s="64">
        <v>1125814</v>
      </c>
      <c r="H21" s="94">
        <v>17065</v>
      </c>
      <c r="I21" s="94">
        <v>16196</v>
      </c>
      <c r="J21" s="94">
        <v>15774</v>
      </c>
      <c r="K21" s="94">
        <v>15351</v>
      </c>
      <c r="L21" s="94">
        <v>14941</v>
      </c>
      <c r="M21" s="94">
        <v>14505</v>
      </c>
      <c r="N21" s="94">
        <v>114179</v>
      </c>
      <c r="O21" s="58">
        <f t="shared" si="1"/>
        <v>208011</v>
      </c>
    </row>
    <row r="22" spans="1:15" s="17" customFormat="1" ht="25.5">
      <c r="A22" s="16"/>
      <c r="B22" s="70" t="s">
        <v>37</v>
      </c>
      <c r="C22" s="48" t="s">
        <v>94</v>
      </c>
      <c r="D22" s="48" t="s">
        <v>333</v>
      </c>
      <c r="E22" s="42" t="s">
        <v>120</v>
      </c>
      <c r="F22" s="65" t="s">
        <v>121</v>
      </c>
      <c r="G22" s="64">
        <v>170033</v>
      </c>
      <c r="H22" s="94">
        <v>5683</v>
      </c>
      <c r="I22" s="94">
        <v>5519</v>
      </c>
      <c r="J22" s="94">
        <v>5324</v>
      </c>
      <c r="K22" s="94">
        <v>5133</v>
      </c>
      <c r="L22" s="94">
        <v>4942</v>
      </c>
      <c r="M22" s="94">
        <v>3582</v>
      </c>
      <c r="N22" s="94">
        <f>0</f>
        <v>0</v>
      </c>
      <c r="O22" s="58">
        <f t="shared" si="1"/>
        <v>30183</v>
      </c>
    </row>
    <row r="23" spans="1:15" s="17" customFormat="1" ht="51">
      <c r="A23" s="16"/>
      <c r="B23" s="70" t="s">
        <v>38</v>
      </c>
      <c r="C23" s="48" t="s">
        <v>94</v>
      </c>
      <c r="D23" s="48" t="s">
        <v>334</v>
      </c>
      <c r="E23" s="42" t="s">
        <v>122</v>
      </c>
      <c r="F23" s="65" t="s">
        <v>123</v>
      </c>
      <c r="G23" s="64">
        <v>92000</v>
      </c>
      <c r="H23" s="94">
        <v>3445</v>
      </c>
      <c r="I23" s="94">
        <v>3269</v>
      </c>
      <c r="J23" s="94">
        <v>3185</v>
      </c>
      <c r="K23" s="94">
        <v>3100</v>
      </c>
      <c r="L23" s="94">
        <v>3019</v>
      </c>
      <c r="M23" s="94">
        <v>2932</v>
      </c>
      <c r="N23" s="94">
        <f>2848+21330</f>
        <v>24178</v>
      </c>
      <c r="O23" s="58">
        <f t="shared" si="1"/>
        <v>43128</v>
      </c>
    </row>
    <row r="24" spans="1:15" s="17" customFormat="1" ht="51">
      <c r="A24" s="16"/>
      <c r="B24" s="70" t="s">
        <v>289</v>
      </c>
      <c r="C24" s="48" t="s">
        <v>94</v>
      </c>
      <c r="D24" s="48" t="s">
        <v>335</v>
      </c>
      <c r="E24" s="42" t="s">
        <v>122</v>
      </c>
      <c r="F24" s="65" t="s">
        <v>123</v>
      </c>
      <c r="G24" s="64">
        <v>81000</v>
      </c>
      <c r="H24" s="94">
        <v>3553</v>
      </c>
      <c r="I24" s="94">
        <v>3371</v>
      </c>
      <c r="J24" s="94">
        <v>3284</v>
      </c>
      <c r="K24" s="94">
        <v>3198</v>
      </c>
      <c r="L24" s="94">
        <v>3113</v>
      </c>
      <c r="M24" s="94">
        <v>3024</v>
      </c>
      <c r="N24" s="94">
        <f>2937+21999</f>
        <v>24936</v>
      </c>
      <c r="O24" s="58">
        <f t="shared" si="1"/>
        <v>44479</v>
      </c>
    </row>
    <row r="25" spans="1:15" s="17" customFormat="1" ht="51">
      <c r="A25" s="16"/>
      <c r="B25" s="70" t="s">
        <v>39</v>
      </c>
      <c r="C25" s="48" t="s">
        <v>94</v>
      </c>
      <c r="D25" s="48" t="s">
        <v>336</v>
      </c>
      <c r="E25" s="42" t="s">
        <v>124</v>
      </c>
      <c r="F25" s="65" t="s">
        <v>125</v>
      </c>
      <c r="G25" s="64">
        <v>873797</v>
      </c>
      <c r="H25" s="94">
        <v>61995</v>
      </c>
      <c r="I25" s="94">
        <v>59416</v>
      </c>
      <c r="J25" s="94">
        <v>57471</v>
      </c>
      <c r="K25" s="94">
        <v>55520</v>
      </c>
      <c r="L25" s="94">
        <v>53584</v>
      </c>
      <c r="M25" s="94">
        <v>51616</v>
      </c>
      <c r="N25" s="94">
        <f>49667+19638</f>
        <v>69305</v>
      </c>
      <c r="O25" s="58">
        <f aca="true" t="shared" si="2" ref="O25:O47">SUM(H25:N25)</f>
        <v>408907</v>
      </c>
    </row>
    <row r="26" spans="1:15" s="17" customFormat="1" ht="25.5">
      <c r="A26" s="16"/>
      <c r="B26" s="70" t="s">
        <v>40</v>
      </c>
      <c r="C26" s="48" t="s">
        <v>94</v>
      </c>
      <c r="D26" s="48" t="s">
        <v>337</v>
      </c>
      <c r="E26" s="42" t="s">
        <v>126</v>
      </c>
      <c r="F26" s="65" t="s">
        <v>127</v>
      </c>
      <c r="G26" s="64">
        <v>5869032</v>
      </c>
      <c r="H26" s="94">
        <v>426518</v>
      </c>
      <c r="I26" s="94">
        <v>400158</v>
      </c>
      <c r="J26" s="94">
        <v>389873</v>
      </c>
      <c r="K26" s="94">
        <v>379560</v>
      </c>
      <c r="L26" s="94">
        <v>369558</v>
      </c>
      <c r="M26" s="94">
        <v>358920</v>
      </c>
      <c r="N26" s="94">
        <f>348614+2611791</f>
        <v>2960405</v>
      </c>
      <c r="O26" s="58">
        <f t="shared" si="2"/>
        <v>5284992</v>
      </c>
    </row>
    <row r="27" spans="1:15" s="17" customFormat="1" ht="38.25">
      <c r="A27" s="16"/>
      <c r="B27" s="70" t="s">
        <v>41</v>
      </c>
      <c r="C27" s="48" t="s">
        <v>94</v>
      </c>
      <c r="D27" s="48" t="s">
        <v>338</v>
      </c>
      <c r="E27" s="42" t="s">
        <v>100</v>
      </c>
      <c r="F27" s="65" t="s">
        <v>128</v>
      </c>
      <c r="G27" s="64">
        <v>166095</v>
      </c>
      <c r="H27" s="94">
        <v>13839</v>
      </c>
      <c r="I27" s="94">
        <v>13265</v>
      </c>
      <c r="J27" s="94">
        <v>12785</v>
      </c>
      <c r="K27" s="94">
        <v>12304</v>
      </c>
      <c r="L27" s="94">
        <v>5998</v>
      </c>
      <c r="M27" s="94">
        <v>0</v>
      </c>
      <c r="N27" s="94">
        <v>0</v>
      </c>
      <c r="O27" s="58">
        <f t="shared" si="2"/>
        <v>58191</v>
      </c>
    </row>
    <row r="28" spans="1:15" s="17" customFormat="1" ht="38.25">
      <c r="A28" s="16"/>
      <c r="B28" s="70" t="s">
        <v>42</v>
      </c>
      <c r="C28" s="48" t="s">
        <v>94</v>
      </c>
      <c r="D28" s="48" t="s">
        <v>339</v>
      </c>
      <c r="E28" s="42" t="s">
        <v>108</v>
      </c>
      <c r="F28" s="65" t="s">
        <v>129</v>
      </c>
      <c r="G28" s="64">
        <v>82852</v>
      </c>
      <c r="H28" s="94">
        <v>7005</v>
      </c>
      <c r="I28" s="94">
        <v>6686</v>
      </c>
      <c r="J28" s="94">
        <v>6454</v>
      </c>
      <c r="K28" s="94">
        <v>6222</v>
      </c>
      <c r="L28" s="94">
        <v>5991</v>
      </c>
      <c r="M28" s="94">
        <v>4348</v>
      </c>
      <c r="N28" s="97">
        <v>0</v>
      </c>
      <c r="O28" s="58">
        <f t="shared" si="2"/>
        <v>36706</v>
      </c>
    </row>
    <row r="29" spans="1:15" s="17" customFormat="1" ht="38.25">
      <c r="A29" s="16"/>
      <c r="B29" s="70" t="s">
        <v>43</v>
      </c>
      <c r="C29" s="48" t="s">
        <v>94</v>
      </c>
      <c r="D29" s="48" t="s">
        <v>340</v>
      </c>
      <c r="E29" s="42" t="s">
        <v>130</v>
      </c>
      <c r="F29" s="65" t="s">
        <v>131</v>
      </c>
      <c r="G29" s="64">
        <v>70650</v>
      </c>
      <c r="H29" s="94">
        <v>1190</v>
      </c>
      <c r="I29" s="94">
        <v>1153</v>
      </c>
      <c r="J29" s="94">
        <v>1119</v>
      </c>
      <c r="K29" s="94">
        <v>1084</v>
      </c>
      <c r="L29" s="94">
        <v>1050</v>
      </c>
      <c r="M29" s="94">
        <v>1015</v>
      </c>
      <c r="N29" s="94">
        <f>981+3164</f>
        <v>4145</v>
      </c>
      <c r="O29" s="58">
        <f t="shared" si="2"/>
        <v>10756</v>
      </c>
    </row>
    <row r="30" spans="1:15" s="17" customFormat="1" ht="25.5">
      <c r="A30" s="16"/>
      <c r="B30" s="70" t="s">
        <v>44</v>
      </c>
      <c r="C30" s="48" t="s">
        <v>94</v>
      </c>
      <c r="D30" s="48" t="s">
        <v>341</v>
      </c>
      <c r="E30" s="42" t="s">
        <v>132</v>
      </c>
      <c r="F30" s="65" t="s">
        <v>133</v>
      </c>
      <c r="G30" s="64">
        <v>455319</v>
      </c>
      <c r="H30" s="94">
        <v>4264</v>
      </c>
      <c r="I30" s="94">
        <v>4039</v>
      </c>
      <c r="J30" s="94">
        <v>9</v>
      </c>
      <c r="K30" s="94">
        <v>0</v>
      </c>
      <c r="L30" s="94">
        <v>0</v>
      </c>
      <c r="M30" s="94">
        <v>0</v>
      </c>
      <c r="N30" s="94">
        <v>0</v>
      </c>
      <c r="O30" s="58">
        <f t="shared" si="2"/>
        <v>8312</v>
      </c>
    </row>
    <row r="31" spans="1:15" s="17" customFormat="1" ht="25.5">
      <c r="A31" s="16"/>
      <c r="B31" s="70" t="s">
        <v>45</v>
      </c>
      <c r="C31" s="48" t="s">
        <v>94</v>
      </c>
      <c r="D31" s="48" t="s">
        <v>342</v>
      </c>
      <c r="E31" s="42" t="s">
        <v>134</v>
      </c>
      <c r="F31" s="65" t="s">
        <v>135</v>
      </c>
      <c r="G31" s="64">
        <v>151816</v>
      </c>
      <c r="H31" s="94">
        <v>9516</v>
      </c>
      <c r="I31" s="94">
        <v>9154</v>
      </c>
      <c r="J31" s="94">
        <v>8848</v>
      </c>
      <c r="K31" s="94">
        <v>8572</v>
      </c>
      <c r="L31" s="94">
        <v>8300</v>
      </c>
      <c r="M31" s="94">
        <v>8020</v>
      </c>
      <c r="N31" s="94">
        <f>7744+21590</f>
        <v>29334</v>
      </c>
      <c r="O31" s="58">
        <f t="shared" si="2"/>
        <v>81744</v>
      </c>
    </row>
    <row r="32" spans="1:15" s="17" customFormat="1" ht="25.5">
      <c r="A32" s="16"/>
      <c r="B32" s="70" t="s">
        <v>46</v>
      </c>
      <c r="C32" s="48" t="s">
        <v>94</v>
      </c>
      <c r="D32" s="48" t="s">
        <v>343</v>
      </c>
      <c r="E32" s="42" t="s">
        <v>136</v>
      </c>
      <c r="F32" s="65" t="s">
        <v>137</v>
      </c>
      <c r="G32" s="64">
        <v>97794</v>
      </c>
      <c r="H32" s="94">
        <v>2149</v>
      </c>
      <c r="I32" s="94">
        <v>0</v>
      </c>
      <c r="J32" s="97">
        <v>0</v>
      </c>
      <c r="K32" s="97">
        <v>0</v>
      </c>
      <c r="L32" s="97">
        <v>0</v>
      </c>
      <c r="M32" s="97">
        <v>0</v>
      </c>
      <c r="N32" s="94">
        <v>0</v>
      </c>
      <c r="O32" s="58">
        <f t="shared" si="2"/>
        <v>2149</v>
      </c>
    </row>
    <row r="33" spans="1:15" s="17" customFormat="1" ht="38.25">
      <c r="A33" s="16"/>
      <c r="B33" s="70" t="s">
        <v>47</v>
      </c>
      <c r="C33" s="48" t="s">
        <v>94</v>
      </c>
      <c r="D33" s="48" t="s">
        <v>344</v>
      </c>
      <c r="E33" s="42" t="s">
        <v>138</v>
      </c>
      <c r="F33" s="65" t="s">
        <v>139</v>
      </c>
      <c r="G33" s="64">
        <v>19912</v>
      </c>
      <c r="H33" s="94">
        <v>993</v>
      </c>
      <c r="I33" s="94">
        <v>484</v>
      </c>
      <c r="J33" s="97">
        <v>0</v>
      </c>
      <c r="K33" s="97">
        <v>0</v>
      </c>
      <c r="L33" s="97">
        <v>0</v>
      </c>
      <c r="M33" s="97">
        <v>0</v>
      </c>
      <c r="N33" s="94">
        <v>0</v>
      </c>
      <c r="O33" s="58">
        <f t="shared" si="2"/>
        <v>1477</v>
      </c>
    </row>
    <row r="34" spans="1:15" s="17" customFormat="1" ht="38.25">
      <c r="A34" s="16"/>
      <c r="B34" s="70" t="s">
        <v>48</v>
      </c>
      <c r="C34" s="48" t="s">
        <v>94</v>
      </c>
      <c r="D34" s="48" t="s">
        <v>345</v>
      </c>
      <c r="E34" s="42" t="s">
        <v>140</v>
      </c>
      <c r="F34" s="65" t="s">
        <v>141</v>
      </c>
      <c r="G34" s="64">
        <v>207096</v>
      </c>
      <c r="H34" s="94">
        <v>13533</v>
      </c>
      <c r="I34" s="94">
        <v>12719</v>
      </c>
      <c r="J34" s="94">
        <v>12374</v>
      </c>
      <c r="K34" s="94">
        <v>12028</v>
      </c>
      <c r="L34" s="94">
        <v>11691</v>
      </c>
      <c r="M34" s="94">
        <v>11336</v>
      </c>
      <c r="N34" s="94">
        <f>10991+65064</f>
        <v>76055</v>
      </c>
      <c r="O34" s="58">
        <f t="shared" si="2"/>
        <v>149736</v>
      </c>
    </row>
    <row r="35" spans="1:15" s="17" customFormat="1" ht="38.25">
      <c r="A35" s="16"/>
      <c r="B35" s="70" t="s">
        <v>49</v>
      </c>
      <c r="C35" s="48" t="s">
        <v>94</v>
      </c>
      <c r="D35" s="48" t="s">
        <v>346</v>
      </c>
      <c r="E35" s="42" t="s">
        <v>142</v>
      </c>
      <c r="F35" s="65" t="s">
        <v>143</v>
      </c>
      <c r="G35" s="64">
        <v>243723</v>
      </c>
      <c r="H35" s="94">
        <v>12459</v>
      </c>
      <c r="I35" s="94">
        <v>3061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58">
        <f t="shared" si="2"/>
        <v>15520</v>
      </c>
    </row>
    <row r="36" spans="1:15" s="17" customFormat="1" ht="51">
      <c r="A36" s="16"/>
      <c r="B36" s="70" t="s">
        <v>50</v>
      </c>
      <c r="C36" s="48" t="s">
        <v>94</v>
      </c>
      <c r="D36" s="48" t="s">
        <v>144</v>
      </c>
      <c r="E36" s="42" t="s">
        <v>142</v>
      </c>
      <c r="F36" s="65" t="s">
        <v>143</v>
      </c>
      <c r="G36" s="64">
        <v>219572</v>
      </c>
      <c r="H36" s="94">
        <v>13531</v>
      </c>
      <c r="I36" s="94">
        <v>3325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58">
        <f t="shared" si="2"/>
        <v>16856</v>
      </c>
    </row>
    <row r="37" spans="1:15" s="17" customFormat="1" ht="38.25">
      <c r="A37" s="16"/>
      <c r="B37" s="70" t="s">
        <v>290</v>
      </c>
      <c r="C37" s="48" t="s">
        <v>94</v>
      </c>
      <c r="D37" s="48" t="s">
        <v>348</v>
      </c>
      <c r="E37" s="42" t="s">
        <v>101</v>
      </c>
      <c r="F37" s="65" t="s">
        <v>145</v>
      </c>
      <c r="G37" s="64">
        <v>146576</v>
      </c>
      <c r="H37" s="94">
        <v>5493</v>
      </c>
      <c r="I37" s="94">
        <v>5233</v>
      </c>
      <c r="J37" s="94">
        <v>5069</v>
      </c>
      <c r="K37" s="94">
        <v>4904</v>
      </c>
      <c r="L37" s="94">
        <v>4741</v>
      </c>
      <c r="M37" s="94">
        <v>4575</v>
      </c>
      <c r="N37" s="94">
        <f>4410+7329</f>
        <v>11739</v>
      </c>
      <c r="O37" s="58">
        <f t="shared" si="2"/>
        <v>41754</v>
      </c>
    </row>
    <row r="38" spans="1:15" s="17" customFormat="1" ht="25.5">
      <c r="A38" s="16"/>
      <c r="B38" s="70" t="s">
        <v>51</v>
      </c>
      <c r="C38" s="48" t="s">
        <v>94</v>
      </c>
      <c r="D38" s="48" t="s">
        <v>146</v>
      </c>
      <c r="E38" s="42" t="s">
        <v>147</v>
      </c>
      <c r="F38" s="65" t="s">
        <v>148</v>
      </c>
      <c r="G38" s="64">
        <v>206202</v>
      </c>
      <c r="H38" s="94">
        <v>13634</v>
      </c>
      <c r="I38" s="94">
        <v>20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58">
        <f t="shared" si="2"/>
        <v>13654</v>
      </c>
    </row>
    <row r="39" spans="1:15" s="17" customFormat="1" ht="25.5">
      <c r="A39" s="16"/>
      <c r="B39" s="70" t="s">
        <v>52</v>
      </c>
      <c r="C39" s="48" t="s">
        <v>94</v>
      </c>
      <c r="D39" s="48" t="s">
        <v>149</v>
      </c>
      <c r="E39" s="42" t="s">
        <v>150</v>
      </c>
      <c r="F39" s="65" t="s">
        <v>151</v>
      </c>
      <c r="G39" s="64">
        <v>136764</v>
      </c>
      <c r="H39" s="94">
        <v>2657</v>
      </c>
      <c r="I39" s="94">
        <v>2529</v>
      </c>
      <c r="J39" s="94">
        <v>2462</v>
      </c>
      <c r="K39" s="94">
        <v>2395</v>
      </c>
      <c r="L39" s="94">
        <v>2330</v>
      </c>
      <c r="M39" s="94">
        <v>2261</v>
      </c>
      <c r="N39" s="94">
        <f>2194+14744</f>
        <v>16938</v>
      </c>
      <c r="O39" s="58">
        <f t="shared" si="2"/>
        <v>31572</v>
      </c>
    </row>
    <row r="40" spans="1:15" s="17" customFormat="1" ht="25.5">
      <c r="A40" s="16"/>
      <c r="B40" s="70" t="s">
        <v>53</v>
      </c>
      <c r="C40" s="48" t="s">
        <v>94</v>
      </c>
      <c r="D40" s="48" t="s">
        <v>153</v>
      </c>
      <c r="E40" s="42" t="s">
        <v>154</v>
      </c>
      <c r="F40" s="65" t="s">
        <v>155</v>
      </c>
      <c r="G40" s="64">
        <v>227654</v>
      </c>
      <c r="H40" s="94">
        <v>5680</v>
      </c>
      <c r="I40" s="94">
        <v>5398</v>
      </c>
      <c r="J40" s="94">
        <v>5243</v>
      </c>
      <c r="K40" s="94">
        <v>5088</v>
      </c>
      <c r="L40" s="94">
        <v>4936</v>
      </c>
      <c r="M40" s="94">
        <v>4778</v>
      </c>
      <c r="N40" s="94">
        <f>4623+19846</f>
        <v>24469</v>
      </c>
      <c r="O40" s="58">
        <f t="shared" si="2"/>
        <v>55592</v>
      </c>
    </row>
    <row r="41" spans="1:15" s="17" customFormat="1" ht="12.75">
      <c r="A41" s="16"/>
      <c r="B41" s="70" t="s">
        <v>54</v>
      </c>
      <c r="C41" s="48" t="s">
        <v>94</v>
      </c>
      <c r="D41" s="67" t="s">
        <v>156</v>
      </c>
      <c r="E41" s="42" t="s">
        <v>157</v>
      </c>
      <c r="F41" s="65" t="s">
        <v>158</v>
      </c>
      <c r="G41" s="64">
        <v>179282</v>
      </c>
      <c r="H41" s="94">
        <v>4914</v>
      </c>
      <c r="I41" s="94">
        <v>4782</v>
      </c>
      <c r="J41" s="94">
        <v>4651</v>
      </c>
      <c r="K41" s="94">
        <v>4521</v>
      </c>
      <c r="L41" s="94">
        <v>4393</v>
      </c>
      <c r="M41" s="94">
        <v>4259</v>
      </c>
      <c r="N41" s="94">
        <f>4128+23653</f>
        <v>27781</v>
      </c>
      <c r="O41" s="58">
        <f t="shared" si="2"/>
        <v>55301</v>
      </c>
    </row>
    <row r="42" spans="1:15" s="17" customFormat="1" ht="12.75">
      <c r="A42" s="16"/>
      <c r="B42" s="70" t="s">
        <v>55</v>
      </c>
      <c r="C42" s="48" t="s">
        <v>94</v>
      </c>
      <c r="D42" s="67" t="s">
        <v>159</v>
      </c>
      <c r="E42" s="42" t="s">
        <v>160</v>
      </c>
      <c r="F42" s="65" t="s">
        <v>161</v>
      </c>
      <c r="G42" s="64">
        <v>229711</v>
      </c>
      <c r="H42" s="94">
        <v>3597</v>
      </c>
      <c r="I42" s="94">
        <v>3428</v>
      </c>
      <c r="J42" s="94">
        <v>3315</v>
      </c>
      <c r="K42" s="94">
        <v>3202</v>
      </c>
      <c r="L42" s="94">
        <v>3090</v>
      </c>
      <c r="M42" s="94">
        <v>2975</v>
      </c>
      <c r="N42" s="94">
        <f>2862+584</f>
        <v>3446</v>
      </c>
      <c r="O42" s="58">
        <f t="shared" si="2"/>
        <v>23053</v>
      </c>
    </row>
    <row r="43" spans="1:15" s="17" customFormat="1" ht="12.75">
      <c r="A43" s="16"/>
      <c r="B43" s="70" t="s">
        <v>56</v>
      </c>
      <c r="C43" s="48" t="s">
        <v>94</v>
      </c>
      <c r="D43" s="67" t="s">
        <v>162</v>
      </c>
      <c r="E43" s="42" t="s">
        <v>101</v>
      </c>
      <c r="F43" s="65" t="s">
        <v>102</v>
      </c>
      <c r="G43" s="64">
        <v>222359</v>
      </c>
      <c r="H43" s="94">
        <v>16018</v>
      </c>
      <c r="I43" s="94">
        <v>15284</v>
      </c>
      <c r="J43" s="94">
        <v>14759</v>
      </c>
      <c r="K43" s="94">
        <v>14233</v>
      </c>
      <c r="L43" s="94">
        <v>13709</v>
      </c>
      <c r="M43" s="94">
        <v>13180</v>
      </c>
      <c r="N43" s="94">
        <v>29</v>
      </c>
      <c r="O43" s="58">
        <f t="shared" si="2"/>
        <v>87212</v>
      </c>
    </row>
    <row r="44" spans="1:15" s="17" customFormat="1" ht="12.75">
      <c r="A44" s="16"/>
      <c r="B44" s="70" t="s">
        <v>291</v>
      </c>
      <c r="C44" s="48" t="s">
        <v>94</v>
      </c>
      <c r="D44" s="67" t="s">
        <v>163</v>
      </c>
      <c r="E44" s="42" t="s">
        <v>164</v>
      </c>
      <c r="F44" s="65" t="s">
        <v>165</v>
      </c>
      <c r="G44" s="64">
        <v>69658</v>
      </c>
      <c r="H44" s="94">
        <v>7961</v>
      </c>
      <c r="I44" s="94">
        <v>7618</v>
      </c>
      <c r="J44" s="94">
        <v>5530</v>
      </c>
      <c r="K44" s="97">
        <v>0</v>
      </c>
      <c r="L44" s="97">
        <v>0</v>
      </c>
      <c r="M44" s="94">
        <v>0</v>
      </c>
      <c r="N44" s="94">
        <v>0</v>
      </c>
      <c r="O44" s="58">
        <f t="shared" si="2"/>
        <v>21109</v>
      </c>
    </row>
    <row r="45" spans="1:15" s="17" customFormat="1" ht="51">
      <c r="A45" s="16"/>
      <c r="B45" s="70" t="s">
        <v>57</v>
      </c>
      <c r="C45" s="48" t="s">
        <v>94</v>
      </c>
      <c r="D45" s="48" t="s">
        <v>347</v>
      </c>
      <c r="E45" s="42" t="s">
        <v>150</v>
      </c>
      <c r="F45" s="65" t="s">
        <v>166</v>
      </c>
      <c r="G45" s="64">
        <v>21017</v>
      </c>
      <c r="H45" s="94">
        <v>2591</v>
      </c>
      <c r="I45" s="94">
        <v>2476</v>
      </c>
      <c r="J45" s="94">
        <v>2387</v>
      </c>
      <c r="K45" s="94">
        <v>2298</v>
      </c>
      <c r="L45" s="94">
        <v>1666</v>
      </c>
      <c r="M45" s="94">
        <v>0</v>
      </c>
      <c r="N45" s="94">
        <v>0</v>
      </c>
      <c r="O45" s="58">
        <f t="shared" si="2"/>
        <v>11418</v>
      </c>
    </row>
    <row r="46" spans="1:15" s="17" customFormat="1" ht="25.5">
      <c r="A46" s="16"/>
      <c r="B46" s="70" t="s">
        <v>58</v>
      </c>
      <c r="C46" s="48" t="s">
        <v>94</v>
      </c>
      <c r="D46" s="48" t="s">
        <v>167</v>
      </c>
      <c r="E46" s="42" t="s">
        <v>147</v>
      </c>
      <c r="F46" s="65" t="s">
        <v>168</v>
      </c>
      <c r="G46" s="64">
        <v>76320</v>
      </c>
      <c r="H46" s="94">
        <v>5822</v>
      </c>
      <c r="I46" s="94">
        <v>5599</v>
      </c>
      <c r="J46" s="94">
        <v>5417</v>
      </c>
      <c r="K46" s="94">
        <v>5253</v>
      </c>
      <c r="L46" s="94">
        <v>5092</v>
      </c>
      <c r="M46" s="94">
        <v>4925</v>
      </c>
      <c r="N46" s="94">
        <f>4761+17415</f>
        <v>22176</v>
      </c>
      <c r="O46" s="58">
        <f t="shared" si="2"/>
        <v>54284</v>
      </c>
    </row>
    <row r="47" spans="1:15" s="17" customFormat="1" ht="25.5">
      <c r="A47" s="16"/>
      <c r="B47" s="70" t="s">
        <v>59</v>
      </c>
      <c r="C47" s="48" t="s">
        <v>94</v>
      </c>
      <c r="D47" s="48" t="s">
        <v>169</v>
      </c>
      <c r="E47" s="42" t="s">
        <v>124</v>
      </c>
      <c r="F47" s="65" t="s">
        <v>125</v>
      </c>
      <c r="G47" s="64">
        <v>366300</v>
      </c>
      <c r="H47" s="94">
        <v>30402</v>
      </c>
      <c r="I47" s="94">
        <v>29134</v>
      </c>
      <c r="J47" s="94">
        <v>28360</v>
      </c>
      <c r="K47" s="94">
        <v>27584</v>
      </c>
      <c r="L47" s="94">
        <v>26829</v>
      </c>
      <c r="M47" s="94">
        <v>26032</v>
      </c>
      <c r="N47" s="94">
        <f>25256+164782</f>
        <v>190038</v>
      </c>
      <c r="O47" s="58">
        <f t="shared" si="2"/>
        <v>358379</v>
      </c>
    </row>
    <row r="48" spans="1:15" s="17" customFormat="1" ht="25.5">
      <c r="A48" s="16"/>
      <c r="B48" s="70" t="s">
        <v>60</v>
      </c>
      <c r="C48" s="48" t="s">
        <v>94</v>
      </c>
      <c r="D48" s="48" t="s">
        <v>170</v>
      </c>
      <c r="E48" s="42" t="s">
        <v>171</v>
      </c>
      <c r="F48" s="65" t="s">
        <v>172</v>
      </c>
      <c r="G48" s="64">
        <v>110189</v>
      </c>
      <c r="H48" s="94">
        <v>13201</v>
      </c>
      <c r="I48" s="94">
        <v>12722</v>
      </c>
      <c r="J48" s="94">
        <v>12245</v>
      </c>
      <c r="K48" s="94">
        <v>5959</v>
      </c>
      <c r="L48" s="94">
        <v>0</v>
      </c>
      <c r="M48" s="94">
        <v>0</v>
      </c>
      <c r="N48" s="94">
        <v>0</v>
      </c>
      <c r="O48" s="58">
        <f aca="true" t="shared" si="3" ref="O48:O55">SUM(H48:N48)</f>
        <v>44127</v>
      </c>
    </row>
    <row r="49" spans="1:15" s="17" customFormat="1" ht="25.5">
      <c r="A49" s="16"/>
      <c r="B49" s="70" t="s">
        <v>61</v>
      </c>
      <c r="C49" s="48" t="s">
        <v>94</v>
      </c>
      <c r="D49" s="48" t="s">
        <v>173</v>
      </c>
      <c r="E49" s="42" t="s">
        <v>174</v>
      </c>
      <c r="F49" s="65" t="s">
        <v>175</v>
      </c>
      <c r="G49" s="64">
        <v>30131</v>
      </c>
      <c r="H49" s="94">
        <v>3754</v>
      </c>
      <c r="I49" s="94">
        <v>3610</v>
      </c>
      <c r="J49" s="94">
        <v>3479</v>
      </c>
      <c r="K49" s="94">
        <v>3348</v>
      </c>
      <c r="L49" s="94">
        <v>1629</v>
      </c>
      <c r="M49" s="94">
        <v>0</v>
      </c>
      <c r="N49" s="94">
        <v>0</v>
      </c>
      <c r="O49" s="58">
        <f t="shared" si="3"/>
        <v>15820</v>
      </c>
    </row>
    <row r="50" spans="1:15" s="17" customFormat="1" ht="25.5">
      <c r="A50" s="16"/>
      <c r="B50" s="70" t="s">
        <v>62</v>
      </c>
      <c r="C50" s="48" t="s">
        <v>94</v>
      </c>
      <c r="D50" s="48" t="s">
        <v>176</v>
      </c>
      <c r="E50" s="42" t="s">
        <v>171</v>
      </c>
      <c r="F50" s="65" t="s">
        <v>177</v>
      </c>
      <c r="G50" s="64">
        <v>205405</v>
      </c>
      <c r="H50" s="94">
        <v>14734</v>
      </c>
      <c r="I50" s="94">
        <v>14385</v>
      </c>
      <c r="J50" s="94">
        <v>14039</v>
      </c>
      <c r="K50" s="94">
        <v>13693</v>
      </c>
      <c r="L50" s="94">
        <v>13360</v>
      </c>
      <c r="M50" s="94">
        <v>13000</v>
      </c>
      <c r="N50" s="94">
        <f>12654+120693</f>
        <v>133347</v>
      </c>
      <c r="O50" s="58">
        <f t="shared" si="3"/>
        <v>216558</v>
      </c>
    </row>
    <row r="51" spans="1:15" s="17" customFormat="1" ht="25.5">
      <c r="A51" s="16"/>
      <c r="B51" s="70" t="s">
        <v>63</v>
      </c>
      <c r="C51" s="48" t="s">
        <v>94</v>
      </c>
      <c r="D51" s="48" t="s">
        <v>349</v>
      </c>
      <c r="E51" s="42" t="s">
        <v>178</v>
      </c>
      <c r="F51" s="65" t="s">
        <v>141</v>
      </c>
      <c r="G51" s="64">
        <v>176751</v>
      </c>
      <c r="H51" s="94">
        <v>15251</v>
      </c>
      <c r="I51" s="94">
        <v>14328</v>
      </c>
      <c r="J51" s="94">
        <v>13940</v>
      </c>
      <c r="K51" s="94">
        <v>13550</v>
      </c>
      <c r="L51" s="94">
        <v>13171</v>
      </c>
      <c r="M51" s="94">
        <v>12771</v>
      </c>
      <c r="N51" s="94">
        <f>12382+73436</f>
        <v>85818</v>
      </c>
      <c r="O51" s="58">
        <f t="shared" si="3"/>
        <v>168829</v>
      </c>
    </row>
    <row r="52" spans="1:15" s="17" customFormat="1" ht="25.5">
      <c r="A52" s="16"/>
      <c r="B52" s="70" t="s">
        <v>64</v>
      </c>
      <c r="C52" s="48" t="s">
        <v>94</v>
      </c>
      <c r="D52" s="48" t="s">
        <v>179</v>
      </c>
      <c r="E52" s="42" t="s">
        <v>180</v>
      </c>
      <c r="F52" s="65" t="s">
        <v>181</v>
      </c>
      <c r="G52" s="64">
        <v>118509</v>
      </c>
      <c r="H52" s="94">
        <v>9819</v>
      </c>
      <c r="I52" s="94">
        <v>9324</v>
      </c>
      <c r="J52" s="94">
        <v>9052</v>
      </c>
      <c r="K52" s="94">
        <v>8801</v>
      </c>
      <c r="L52" s="94">
        <v>8556</v>
      </c>
      <c r="M52" s="94">
        <v>8299</v>
      </c>
      <c r="N52" s="94">
        <f>8048+49321</f>
        <v>57369</v>
      </c>
      <c r="O52" s="58">
        <f t="shared" si="3"/>
        <v>111220</v>
      </c>
    </row>
    <row r="53" spans="1:15" s="17" customFormat="1" ht="38.25">
      <c r="A53" s="16"/>
      <c r="B53" s="70" t="s">
        <v>65</v>
      </c>
      <c r="C53" s="48" t="s">
        <v>94</v>
      </c>
      <c r="D53" s="48" t="s">
        <v>182</v>
      </c>
      <c r="E53" s="42" t="s">
        <v>183</v>
      </c>
      <c r="F53" s="65" t="s">
        <v>184</v>
      </c>
      <c r="G53" s="64">
        <v>84029</v>
      </c>
      <c r="H53" s="94">
        <v>6520</v>
      </c>
      <c r="I53" s="94">
        <v>6373</v>
      </c>
      <c r="J53" s="94">
        <v>6198</v>
      </c>
      <c r="K53" s="94">
        <v>6023</v>
      </c>
      <c r="L53" s="94">
        <v>5852</v>
      </c>
      <c r="M53" s="94">
        <v>5672</v>
      </c>
      <c r="N53" s="94">
        <f>5497+30403</f>
        <v>35900</v>
      </c>
      <c r="O53" s="58">
        <f t="shared" si="3"/>
        <v>72538</v>
      </c>
    </row>
    <row r="54" spans="1:15" s="17" customFormat="1" ht="38.25">
      <c r="A54" s="16"/>
      <c r="B54" s="70" t="s">
        <v>66</v>
      </c>
      <c r="C54" s="48" t="s">
        <v>94</v>
      </c>
      <c r="D54" s="48" t="s">
        <v>182</v>
      </c>
      <c r="E54" s="42" t="s">
        <v>185</v>
      </c>
      <c r="F54" s="65" t="s">
        <v>186</v>
      </c>
      <c r="G54" s="64">
        <v>68046</v>
      </c>
      <c r="H54" s="94">
        <v>5475</v>
      </c>
      <c r="I54" s="94">
        <v>5164</v>
      </c>
      <c r="J54" s="94">
        <v>5019</v>
      </c>
      <c r="K54" s="94">
        <v>4875</v>
      </c>
      <c r="L54" s="94">
        <v>4734</v>
      </c>
      <c r="M54" s="94">
        <v>4586</v>
      </c>
      <c r="N54" s="94">
        <f>4442+22758</f>
        <v>27200</v>
      </c>
      <c r="O54" s="58">
        <f t="shared" si="3"/>
        <v>57053</v>
      </c>
    </row>
    <row r="55" spans="1:15" s="17" customFormat="1" ht="25.5">
      <c r="A55" s="16"/>
      <c r="B55" s="70" t="s">
        <v>67</v>
      </c>
      <c r="C55" s="48" t="s">
        <v>94</v>
      </c>
      <c r="D55" s="48" t="s">
        <v>187</v>
      </c>
      <c r="E55" s="42" t="s">
        <v>188</v>
      </c>
      <c r="F55" s="65" t="s">
        <v>189</v>
      </c>
      <c r="G55" s="64">
        <v>71144</v>
      </c>
      <c r="H55" s="94">
        <v>4170</v>
      </c>
      <c r="I55" s="94">
        <v>4016</v>
      </c>
      <c r="J55" s="94">
        <v>3864</v>
      </c>
      <c r="K55" s="94">
        <v>878</v>
      </c>
      <c r="L55" s="94">
        <v>0</v>
      </c>
      <c r="M55" s="94">
        <v>0</v>
      </c>
      <c r="N55" s="94">
        <v>0</v>
      </c>
      <c r="O55" s="58">
        <f t="shared" si="3"/>
        <v>12928</v>
      </c>
    </row>
    <row r="56" spans="1:15" s="17" customFormat="1" ht="25.5">
      <c r="A56" s="16"/>
      <c r="B56" s="70" t="s">
        <v>68</v>
      </c>
      <c r="C56" s="48" t="s">
        <v>94</v>
      </c>
      <c r="D56" s="48" t="s">
        <v>190</v>
      </c>
      <c r="E56" s="42" t="s">
        <v>191</v>
      </c>
      <c r="F56" s="65" t="s">
        <v>192</v>
      </c>
      <c r="G56" s="64">
        <v>87565</v>
      </c>
      <c r="H56" s="94">
        <v>6667</v>
      </c>
      <c r="I56" s="94">
        <v>6376</v>
      </c>
      <c r="J56" s="94">
        <v>3030</v>
      </c>
      <c r="K56" s="97">
        <v>0</v>
      </c>
      <c r="L56" s="97">
        <v>0</v>
      </c>
      <c r="M56" s="94">
        <v>0</v>
      </c>
      <c r="N56" s="94">
        <v>0</v>
      </c>
      <c r="O56" s="58">
        <f aca="true" t="shared" si="4" ref="O56:O67">SUM(H56:N56)</f>
        <v>16073</v>
      </c>
    </row>
    <row r="57" spans="1:15" s="17" customFormat="1" ht="25.5">
      <c r="A57" s="16"/>
      <c r="B57" s="70" t="s">
        <v>292</v>
      </c>
      <c r="C57" s="48" t="s">
        <v>94</v>
      </c>
      <c r="D57" s="48" t="s">
        <v>193</v>
      </c>
      <c r="E57" s="42" t="s">
        <v>194</v>
      </c>
      <c r="F57" s="65" t="s">
        <v>115</v>
      </c>
      <c r="G57" s="64">
        <v>426862</v>
      </c>
      <c r="H57" s="94">
        <v>23168</v>
      </c>
      <c r="I57" s="94">
        <v>23536</v>
      </c>
      <c r="J57" s="94">
        <v>23934</v>
      </c>
      <c r="K57" s="94">
        <v>23095</v>
      </c>
      <c r="L57" s="94">
        <v>5573</v>
      </c>
      <c r="M57" s="97">
        <v>0</v>
      </c>
      <c r="N57" s="94">
        <v>0</v>
      </c>
      <c r="O57" s="58">
        <f t="shared" si="4"/>
        <v>99306</v>
      </c>
    </row>
    <row r="58" spans="1:15" s="17" customFormat="1" ht="25.5">
      <c r="A58" s="16"/>
      <c r="B58" s="70" t="s">
        <v>293</v>
      </c>
      <c r="C58" s="48" t="s">
        <v>94</v>
      </c>
      <c r="D58" s="48" t="s">
        <v>195</v>
      </c>
      <c r="E58" s="42" t="s">
        <v>196</v>
      </c>
      <c r="F58" s="65" t="s">
        <v>172</v>
      </c>
      <c r="G58" s="64">
        <v>49801</v>
      </c>
      <c r="H58" s="94">
        <v>2937</v>
      </c>
      <c r="I58" s="94">
        <v>2838</v>
      </c>
      <c r="J58" s="94">
        <v>2732</v>
      </c>
      <c r="K58" s="94">
        <v>1279</v>
      </c>
      <c r="L58" s="97">
        <v>0</v>
      </c>
      <c r="M58" s="97">
        <v>0</v>
      </c>
      <c r="N58" s="94">
        <v>0</v>
      </c>
      <c r="O58" s="58">
        <f t="shared" si="4"/>
        <v>9786</v>
      </c>
    </row>
    <row r="59" spans="1:15" s="17" customFormat="1" ht="25.5">
      <c r="A59" s="16"/>
      <c r="B59" s="70" t="s">
        <v>69</v>
      </c>
      <c r="C59" s="48" t="s">
        <v>94</v>
      </c>
      <c r="D59" s="48" t="s">
        <v>197</v>
      </c>
      <c r="E59" s="42" t="s">
        <v>198</v>
      </c>
      <c r="F59" s="65" t="s">
        <v>199</v>
      </c>
      <c r="G59" s="64">
        <v>34969</v>
      </c>
      <c r="H59" s="94">
        <v>3787</v>
      </c>
      <c r="I59" s="94">
        <v>3623</v>
      </c>
      <c r="J59" s="94">
        <v>2</v>
      </c>
      <c r="K59" s="94">
        <v>0</v>
      </c>
      <c r="L59" s="94">
        <v>0</v>
      </c>
      <c r="M59" s="94">
        <v>0</v>
      </c>
      <c r="N59" s="94">
        <v>0</v>
      </c>
      <c r="O59" s="58">
        <f t="shared" si="4"/>
        <v>7412</v>
      </c>
    </row>
    <row r="60" spans="1:15" s="17" customFormat="1" ht="25.5">
      <c r="A60" s="16"/>
      <c r="B60" s="70" t="s">
        <v>70</v>
      </c>
      <c r="C60" s="48" t="s">
        <v>94</v>
      </c>
      <c r="D60" s="48" t="s">
        <v>197</v>
      </c>
      <c r="E60" s="42" t="s">
        <v>200</v>
      </c>
      <c r="F60" s="65" t="s">
        <v>201</v>
      </c>
      <c r="G60" s="64">
        <v>17860</v>
      </c>
      <c r="H60" s="94">
        <v>1935</v>
      </c>
      <c r="I60" s="94">
        <v>1868</v>
      </c>
      <c r="J60" s="94">
        <v>457</v>
      </c>
      <c r="K60" s="94">
        <v>0</v>
      </c>
      <c r="L60" s="94">
        <v>0</v>
      </c>
      <c r="M60" s="94">
        <v>0</v>
      </c>
      <c r="N60" s="94">
        <v>0</v>
      </c>
      <c r="O60" s="58">
        <f t="shared" si="4"/>
        <v>4260</v>
      </c>
    </row>
    <row r="61" spans="1:15" s="17" customFormat="1" ht="51">
      <c r="A61" s="16"/>
      <c r="B61" s="70" t="s">
        <v>71</v>
      </c>
      <c r="C61" s="48" t="s">
        <v>94</v>
      </c>
      <c r="D61" s="48" t="s">
        <v>350</v>
      </c>
      <c r="E61" s="42" t="s">
        <v>124</v>
      </c>
      <c r="F61" s="65" t="s">
        <v>125</v>
      </c>
      <c r="G61" s="64">
        <v>130230</v>
      </c>
      <c r="H61" s="94">
        <v>9644</v>
      </c>
      <c r="I61" s="94">
        <v>9242</v>
      </c>
      <c r="J61" s="94">
        <v>8997</v>
      </c>
      <c r="K61" s="94">
        <v>8750</v>
      </c>
      <c r="L61" s="94">
        <v>8511</v>
      </c>
      <c r="M61" s="94">
        <v>8258</v>
      </c>
      <c r="N61" s="94">
        <f>8012+52273</f>
        <v>60285</v>
      </c>
      <c r="O61" s="58">
        <f t="shared" si="4"/>
        <v>113687</v>
      </c>
    </row>
    <row r="62" spans="1:15" s="17" customFormat="1" ht="38.25">
      <c r="A62" s="16"/>
      <c r="B62" s="70" t="s">
        <v>72</v>
      </c>
      <c r="C62" s="48" t="s">
        <v>94</v>
      </c>
      <c r="D62" s="48" t="s">
        <v>351</v>
      </c>
      <c r="E62" s="42" t="s">
        <v>277</v>
      </c>
      <c r="F62" s="65" t="s">
        <v>285</v>
      </c>
      <c r="G62" s="64">
        <v>163392</v>
      </c>
      <c r="H62" s="94">
        <v>36450</v>
      </c>
      <c r="I62" s="94">
        <v>23782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58">
        <f t="shared" si="4"/>
        <v>60232</v>
      </c>
    </row>
    <row r="63" spans="1:15" s="17" customFormat="1" ht="38.25">
      <c r="A63" s="16"/>
      <c r="B63" s="70" t="s">
        <v>73</v>
      </c>
      <c r="C63" s="48" t="s">
        <v>94</v>
      </c>
      <c r="D63" s="48" t="s">
        <v>278</v>
      </c>
      <c r="E63" s="42" t="s">
        <v>279</v>
      </c>
      <c r="F63" s="65" t="s">
        <v>286</v>
      </c>
      <c r="G63" s="64">
        <v>101392</v>
      </c>
      <c r="H63" s="94">
        <v>9518</v>
      </c>
      <c r="I63" s="94">
        <v>9101</v>
      </c>
      <c r="J63" s="94">
        <v>8812</v>
      </c>
      <c r="K63" s="94">
        <v>8588</v>
      </c>
      <c r="L63" s="94">
        <v>8372</v>
      </c>
      <c r="M63" s="94">
        <v>8140</v>
      </c>
      <c r="N63" s="94">
        <f>7916+72334</f>
        <v>80250</v>
      </c>
      <c r="O63" s="58">
        <f t="shared" si="4"/>
        <v>132781</v>
      </c>
    </row>
    <row r="64" spans="1:15" s="17" customFormat="1" ht="38.25">
      <c r="A64" s="16"/>
      <c r="B64" s="70" t="s">
        <v>74</v>
      </c>
      <c r="C64" s="48" t="s">
        <v>94</v>
      </c>
      <c r="D64" s="48" t="s">
        <v>352</v>
      </c>
      <c r="E64" s="42" t="s">
        <v>279</v>
      </c>
      <c r="F64" s="65" t="s">
        <v>286</v>
      </c>
      <c r="G64" s="64">
        <v>435260</v>
      </c>
      <c r="H64" s="94">
        <v>40868</v>
      </c>
      <c r="I64" s="94">
        <v>39080</v>
      </c>
      <c r="J64" s="94">
        <v>37837</v>
      </c>
      <c r="K64" s="94">
        <v>36875</v>
      </c>
      <c r="L64" s="94">
        <v>35949</v>
      </c>
      <c r="M64" s="94">
        <v>34951</v>
      </c>
      <c r="N64" s="94">
        <f>33991+310588</f>
        <v>344579</v>
      </c>
      <c r="O64" s="58">
        <f t="shared" si="4"/>
        <v>570139</v>
      </c>
    </row>
    <row r="65" spans="1:15" s="17" customFormat="1" ht="38.25">
      <c r="A65" s="16"/>
      <c r="B65" s="70" t="s">
        <v>75</v>
      </c>
      <c r="C65" s="48" t="s">
        <v>94</v>
      </c>
      <c r="D65" s="48" t="s">
        <v>282</v>
      </c>
      <c r="E65" s="42" t="s">
        <v>274</v>
      </c>
      <c r="F65" s="65" t="s">
        <v>276</v>
      </c>
      <c r="G65" s="64">
        <v>816255</v>
      </c>
      <c r="H65" s="94">
        <v>25085</v>
      </c>
      <c r="I65" s="94">
        <v>23686</v>
      </c>
      <c r="J65" s="94">
        <v>22926</v>
      </c>
      <c r="K65" s="94">
        <v>22165</v>
      </c>
      <c r="L65" s="94">
        <v>21410</v>
      </c>
      <c r="M65" s="94">
        <v>20641</v>
      </c>
      <c r="N65" s="94">
        <f>19880+14436</f>
        <v>34316</v>
      </c>
      <c r="O65" s="58">
        <f t="shared" si="4"/>
        <v>170229</v>
      </c>
    </row>
    <row r="66" spans="1:15" s="17" customFormat="1" ht="38.25">
      <c r="A66" s="16"/>
      <c r="B66" s="70" t="s">
        <v>76</v>
      </c>
      <c r="C66" s="48" t="s">
        <v>94</v>
      </c>
      <c r="D66" s="48" t="s">
        <v>283</v>
      </c>
      <c r="E66" s="42" t="s">
        <v>274</v>
      </c>
      <c r="F66" s="65" t="s">
        <v>276</v>
      </c>
      <c r="G66" s="64">
        <v>400313</v>
      </c>
      <c r="H66" s="94">
        <v>38386</v>
      </c>
      <c r="I66" s="94">
        <v>35832</v>
      </c>
      <c r="J66" s="94">
        <v>34941</v>
      </c>
      <c r="K66" s="94">
        <v>34047</v>
      </c>
      <c r="L66" s="94">
        <v>33186</v>
      </c>
      <c r="M66" s="94">
        <v>32259</v>
      </c>
      <c r="N66" s="94">
        <f>31366+280887</f>
        <v>312253</v>
      </c>
      <c r="O66" s="58">
        <f t="shared" si="4"/>
        <v>520904</v>
      </c>
    </row>
    <row r="67" spans="1:15" s="17" customFormat="1" ht="38.25">
      <c r="A67" s="16"/>
      <c r="B67" s="70" t="s">
        <v>77</v>
      </c>
      <c r="C67" s="48" t="s">
        <v>94</v>
      </c>
      <c r="D67" s="48" t="s">
        <v>284</v>
      </c>
      <c r="E67" s="42" t="s">
        <v>274</v>
      </c>
      <c r="F67" s="65" t="s">
        <v>287</v>
      </c>
      <c r="G67" s="64">
        <v>201692</v>
      </c>
      <c r="H67" s="94">
        <v>81696</v>
      </c>
      <c r="I67" s="94">
        <v>76260</v>
      </c>
      <c r="J67" s="94">
        <v>74364</v>
      </c>
      <c r="K67" s="94">
        <v>72462</v>
      </c>
      <c r="L67" s="94">
        <v>70628</v>
      </c>
      <c r="M67" s="94">
        <v>68657</v>
      </c>
      <c r="N67" s="94">
        <f>66757+597806</f>
        <v>664563</v>
      </c>
      <c r="O67" s="58">
        <f t="shared" si="4"/>
        <v>1108630</v>
      </c>
    </row>
    <row r="68" spans="1:15" s="17" customFormat="1" ht="38.25">
      <c r="A68" s="16"/>
      <c r="B68" s="70" t="s">
        <v>78</v>
      </c>
      <c r="C68" s="48" t="s">
        <v>94</v>
      </c>
      <c r="D68" s="48" t="s">
        <v>353</v>
      </c>
      <c r="E68" s="42" t="s">
        <v>126</v>
      </c>
      <c r="F68" s="65" t="s">
        <v>127</v>
      </c>
      <c r="G68" s="64">
        <v>243445</v>
      </c>
      <c r="H68" s="94">
        <v>16805</v>
      </c>
      <c r="I68" s="94">
        <v>15766</v>
      </c>
      <c r="J68" s="94">
        <v>15361</v>
      </c>
      <c r="K68" s="94">
        <v>14955</v>
      </c>
      <c r="L68" s="94">
        <v>14560</v>
      </c>
      <c r="M68" s="94">
        <v>14141</v>
      </c>
      <c r="N68" s="94">
        <f>13735+102904</f>
        <v>116639</v>
      </c>
      <c r="O68" s="58">
        <f aca="true" t="shared" si="5" ref="O68:O74">SUM(H68:N68)</f>
        <v>208227</v>
      </c>
    </row>
    <row r="69" spans="1:15" s="17" customFormat="1" ht="25.5">
      <c r="A69" s="16"/>
      <c r="B69" s="70" t="s">
        <v>79</v>
      </c>
      <c r="C69" s="48" t="s">
        <v>94</v>
      </c>
      <c r="D69" s="48" t="s">
        <v>204</v>
      </c>
      <c r="E69" s="42" t="s">
        <v>108</v>
      </c>
      <c r="F69" s="65" t="s">
        <v>129</v>
      </c>
      <c r="G69" s="64">
        <v>77468</v>
      </c>
      <c r="H69" s="94">
        <v>6422</v>
      </c>
      <c r="I69" s="94">
        <v>6129</v>
      </c>
      <c r="J69" s="94">
        <v>5917</v>
      </c>
      <c r="K69" s="94">
        <v>5704</v>
      </c>
      <c r="L69" s="94">
        <v>5492</v>
      </c>
      <c r="M69" s="94">
        <v>3986</v>
      </c>
      <c r="N69" s="94">
        <v>0</v>
      </c>
      <c r="O69" s="58">
        <f t="shared" si="5"/>
        <v>33650</v>
      </c>
    </row>
    <row r="70" spans="1:15" s="17" customFormat="1" ht="51">
      <c r="A70" s="16"/>
      <c r="B70" s="70" t="s">
        <v>318</v>
      </c>
      <c r="C70" s="48" t="s">
        <v>94</v>
      </c>
      <c r="D70" s="48" t="s">
        <v>363</v>
      </c>
      <c r="E70" s="42" t="s">
        <v>230</v>
      </c>
      <c r="F70" s="65" t="s">
        <v>229</v>
      </c>
      <c r="G70" s="64">
        <v>99452</v>
      </c>
      <c r="H70" s="94">
        <v>13740</v>
      </c>
      <c r="I70" s="94">
        <v>13235</v>
      </c>
      <c r="J70" s="94">
        <v>12717</v>
      </c>
      <c r="K70" s="94">
        <v>5383</v>
      </c>
      <c r="L70" s="94">
        <v>0</v>
      </c>
      <c r="M70" s="94">
        <v>0</v>
      </c>
      <c r="N70" s="94">
        <v>0</v>
      </c>
      <c r="O70" s="58">
        <f t="shared" si="5"/>
        <v>45075</v>
      </c>
    </row>
    <row r="71" spans="1:15" s="17" customFormat="1" ht="25.5">
      <c r="A71" s="16"/>
      <c r="B71" s="70" t="s">
        <v>319</v>
      </c>
      <c r="C71" s="48" t="s">
        <v>94</v>
      </c>
      <c r="D71" s="48" t="s">
        <v>228</v>
      </c>
      <c r="E71" s="42" t="s">
        <v>227</v>
      </c>
      <c r="F71" s="65" t="s">
        <v>226</v>
      </c>
      <c r="G71" s="64">
        <v>364845</v>
      </c>
      <c r="H71" s="94">
        <v>35512</v>
      </c>
      <c r="I71" s="94">
        <v>32579</v>
      </c>
      <c r="J71" s="94">
        <v>31701</v>
      </c>
      <c r="K71" s="94">
        <v>30825</v>
      </c>
      <c r="L71" s="94">
        <v>29975</v>
      </c>
      <c r="M71" s="94">
        <v>29073</v>
      </c>
      <c r="N71" s="94">
        <f>28198+198622</f>
        <v>226820</v>
      </c>
      <c r="O71" s="58">
        <f t="shared" si="5"/>
        <v>416485</v>
      </c>
    </row>
    <row r="72" spans="1:15" s="17" customFormat="1" ht="25.5">
      <c r="A72" s="16"/>
      <c r="B72" s="70" t="s">
        <v>80</v>
      </c>
      <c r="C72" s="48" t="s">
        <v>94</v>
      </c>
      <c r="D72" s="48" t="s">
        <v>202</v>
      </c>
      <c r="E72" s="42" t="s">
        <v>203</v>
      </c>
      <c r="F72" s="65" t="s">
        <v>103</v>
      </c>
      <c r="G72" s="64">
        <v>30000</v>
      </c>
      <c r="H72" s="94">
        <v>5066</v>
      </c>
      <c r="I72" s="94">
        <v>4872</v>
      </c>
      <c r="J72" s="94">
        <v>2367</v>
      </c>
      <c r="K72" s="94">
        <v>0</v>
      </c>
      <c r="L72" s="94">
        <v>0</v>
      </c>
      <c r="M72" s="94">
        <v>0</v>
      </c>
      <c r="N72" s="94">
        <v>0</v>
      </c>
      <c r="O72" s="58">
        <f t="shared" si="5"/>
        <v>12305</v>
      </c>
    </row>
    <row r="73" spans="1:15" s="17" customFormat="1" ht="38.25">
      <c r="A73" s="16"/>
      <c r="B73" s="70" t="s">
        <v>81</v>
      </c>
      <c r="C73" s="48" t="s">
        <v>94</v>
      </c>
      <c r="D73" s="48" t="s">
        <v>275</v>
      </c>
      <c r="E73" s="42" t="s">
        <v>274</v>
      </c>
      <c r="F73" s="65" t="s">
        <v>276</v>
      </c>
      <c r="G73" s="64">
        <v>451819</v>
      </c>
      <c r="H73" s="94">
        <v>44940</v>
      </c>
      <c r="I73" s="94">
        <v>41949</v>
      </c>
      <c r="J73" s="94">
        <v>40906</v>
      </c>
      <c r="K73" s="94">
        <v>39860</v>
      </c>
      <c r="L73" s="94">
        <v>38851</v>
      </c>
      <c r="M73" s="94">
        <v>37767</v>
      </c>
      <c r="N73" s="94">
        <f>36721+328842</f>
        <v>365563</v>
      </c>
      <c r="O73" s="58">
        <f t="shared" si="5"/>
        <v>609836</v>
      </c>
    </row>
    <row r="74" spans="1:15" s="17" customFormat="1" ht="51">
      <c r="A74" s="16"/>
      <c r="B74" s="70" t="s">
        <v>82</v>
      </c>
      <c r="C74" s="48" t="s">
        <v>94</v>
      </c>
      <c r="D74" s="71" t="s">
        <v>354</v>
      </c>
      <c r="E74" s="42" t="s">
        <v>253</v>
      </c>
      <c r="F74" s="63" t="s">
        <v>266</v>
      </c>
      <c r="G74" s="72">
        <v>600012</v>
      </c>
      <c r="H74" s="94">
        <v>46085</v>
      </c>
      <c r="I74" s="94">
        <v>44104</v>
      </c>
      <c r="J74" s="94">
        <v>31980</v>
      </c>
      <c r="K74" s="94">
        <v>0</v>
      </c>
      <c r="L74" s="94">
        <v>0</v>
      </c>
      <c r="M74" s="94">
        <v>0</v>
      </c>
      <c r="N74" s="94">
        <v>0</v>
      </c>
      <c r="O74" s="58">
        <f t="shared" si="5"/>
        <v>122169</v>
      </c>
    </row>
    <row r="75" spans="1:15" s="17" customFormat="1" ht="76.5">
      <c r="A75" s="16"/>
      <c r="B75" s="70" t="s">
        <v>83</v>
      </c>
      <c r="C75" s="48" t="s">
        <v>94</v>
      </c>
      <c r="D75" s="48" t="s">
        <v>240</v>
      </c>
      <c r="E75" s="42" t="s">
        <v>152</v>
      </c>
      <c r="F75" s="65" t="s">
        <v>267</v>
      </c>
      <c r="G75" s="64">
        <v>526463</v>
      </c>
      <c r="H75" s="94">
        <v>41079</v>
      </c>
      <c r="I75" s="94">
        <v>39097</v>
      </c>
      <c r="J75" s="94">
        <v>37642</v>
      </c>
      <c r="K75" s="94">
        <v>27355</v>
      </c>
      <c r="L75" s="94">
        <v>0</v>
      </c>
      <c r="M75" s="94">
        <v>0</v>
      </c>
      <c r="N75" s="94">
        <v>0</v>
      </c>
      <c r="O75" s="58">
        <f aca="true" t="shared" si="6" ref="O75:O88">SUM(H75:N75)</f>
        <v>145173</v>
      </c>
    </row>
    <row r="76" spans="1:15" s="17" customFormat="1" ht="63.75">
      <c r="A76" s="16"/>
      <c r="B76" s="70" t="s">
        <v>84</v>
      </c>
      <c r="C76" s="48" t="s">
        <v>94</v>
      </c>
      <c r="D76" s="48" t="s">
        <v>241</v>
      </c>
      <c r="E76" s="42" t="s">
        <v>254</v>
      </c>
      <c r="F76" s="65" t="s">
        <v>268</v>
      </c>
      <c r="G76" s="64">
        <v>749853</v>
      </c>
      <c r="H76" s="94">
        <v>61444</v>
      </c>
      <c r="I76" s="94">
        <v>58383</v>
      </c>
      <c r="J76" s="94">
        <v>56290</v>
      </c>
      <c r="K76" s="94">
        <v>54190</v>
      </c>
      <c r="L76" s="94">
        <v>39381</v>
      </c>
      <c r="M76" s="94">
        <v>0</v>
      </c>
      <c r="N76" s="94">
        <v>0</v>
      </c>
      <c r="O76" s="58">
        <f t="shared" si="6"/>
        <v>269688</v>
      </c>
    </row>
    <row r="77" spans="1:15" s="17" customFormat="1" ht="25.5">
      <c r="A77" s="16"/>
      <c r="B77" s="70" t="s">
        <v>85</v>
      </c>
      <c r="C77" s="48" t="s">
        <v>94</v>
      </c>
      <c r="D77" s="48" t="s">
        <v>242</v>
      </c>
      <c r="E77" s="42" t="s">
        <v>254</v>
      </c>
      <c r="F77" s="65" t="s">
        <v>268</v>
      </c>
      <c r="G77" s="64">
        <v>1158081</v>
      </c>
      <c r="H77" s="94">
        <v>61548</v>
      </c>
      <c r="I77" s="94">
        <v>58482</v>
      </c>
      <c r="J77" s="94">
        <v>56385</v>
      </c>
      <c r="K77" s="94">
        <v>54282</v>
      </c>
      <c r="L77" s="94">
        <v>39447</v>
      </c>
      <c r="M77" s="94">
        <v>0</v>
      </c>
      <c r="N77" s="94">
        <v>0</v>
      </c>
      <c r="O77" s="58">
        <f>SUM(H77:N77)</f>
        <v>270144</v>
      </c>
    </row>
    <row r="78" spans="1:15" s="17" customFormat="1" ht="38.25">
      <c r="A78" s="16"/>
      <c r="B78" s="70" t="s">
        <v>86</v>
      </c>
      <c r="C78" s="48" t="s">
        <v>94</v>
      </c>
      <c r="D78" s="48" t="s">
        <v>243</v>
      </c>
      <c r="E78" s="42" t="s">
        <v>255</v>
      </c>
      <c r="F78" s="65" t="s">
        <v>269</v>
      </c>
      <c r="G78" s="64">
        <v>285533</v>
      </c>
      <c r="H78" s="94">
        <v>21703</v>
      </c>
      <c r="I78" s="94">
        <v>21046</v>
      </c>
      <c r="J78" s="94">
        <v>20305</v>
      </c>
      <c r="K78" s="94">
        <v>19561</v>
      </c>
      <c r="L78" s="94">
        <v>18819</v>
      </c>
      <c r="M78" s="94">
        <v>4614</v>
      </c>
      <c r="N78" s="94">
        <v>0</v>
      </c>
      <c r="O78" s="58">
        <f>SUM(H78:N78)</f>
        <v>106048</v>
      </c>
    </row>
    <row r="79" spans="1:15" s="17" customFormat="1" ht="51">
      <c r="A79" s="16"/>
      <c r="B79" s="70" t="s">
        <v>87</v>
      </c>
      <c r="C79" s="48" t="s">
        <v>94</v>
      </c>
      <c r="D79" s="48" t="s">
        <v>244</v>
      </c>
      <c r="E79" s="42" t="s">
        <v>256</v>
      </c>
      <c r="F79" s="65" t="s">
        <v>270</v>
      </c>
      <c r="G79" s="64">
        <v>878000</v>
      </c>
      <c r="H79" s="94">
        <v>51318</v>
      </c>
      <c r="I79" s="94">
        <v>50407</v>
      </c>
      <c r="J79" s="94">
        <v>48980</v>
      </c>
      <c r="K79" s="94">
        <v>47520</v>
      </c>
      <c r="L79" s="94">
        <v>46085</v>
      </c>
      <c r="M79" s="94">
        <v>44597</v>
      </c>
      <c r="N79" s="94">
        <f>43137+164721</f>
        <v>207858</v>
      </c>
      <c r="O79" s="58">
        <f>SUM(H79:N79)</f>
        <v>496765</v>
      </c>
    </row>
    <row r="80" spans="1:15" s="17" customFormat="1" ht="51">
      <c r="A80" s="16"/>
      <c r="B80" s="70" t="s">
        <v>88</v>
      </c>
      <c r="C80" s="48" t="s">
        <v>94</v>
      </c>
      <c r="D80" s="48" t="s">
        <v>245</v>
      </c>
      <c r="E80" s="42" t="s">
        <v>257</v>
      </c>
      <c r="F80" s="65" t="s">
        <v>143</v>
      </c>
      <c r="G80" s="64">
        <v>202588</v>
      </c>
      <c r="H80" s="94">
        <v>16532</v>
      </c>
      <c r="I80" s="94">
        <v>4070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58">
        <f>SUM(H80:N80)</f>
        <v>20602</v>
      </c>
    </row>
    <row r="81" spans="1:15" s="17" customFormat="1" ht="25.5">
      <c r="A81" s="16"/>
      <c r="B81" s="70" t="s">
        <v>89</v>
      </c>
      <c r="C81" s="48" t="s">
        <v>94</v>
      </c>
      <c r="D81" s="48" t="s">
        <v>246</v>
      </c>
      <c r="E81" s="42" t="s">
        <v>258</v>
      </c>
      <c r="F81" s="65" t="s">
        <v>271</v>
      </c>
      <c r="G81" s="64">
        <v>341402</v>
      </c>
      <c r="H81" s="94">
        <v>28577</v>
      </c>
      <c r="I81" s="94">
        <v>27225</v>
      </c>
      <c r="J81" s="94">
        <v>26432</v>
      </c>
      <c r="K81" s="94">
        <v>25637</v>
      </c>
      <c r="L81" s="94">
        <v>24856</v>
      </c>
      <c r="M81" s="94">
        <v>24046</v>
      </c>
      <c r="N81" s="94">
        <f>23252+91334</f>
        <v>114586</v>
      </c>
      <c r="O81" s="58">
        <f t="shared" si="6"/>
        <v>271359</v>
      </c>
    </row>
    <row r="82" spans="1:15" s="17" customFormat="1" ht="38.25">
      <c r="A82" s="16"/>
      <c r="B82" s="70" t="s">
        <v>90</v>
      </c>
      <c r="C82" s="48" t="s">
        <v>94</v>
      </c>
      <c r="D82" s="48" t="s">
        <v>247</v>
      </c>
      <c r="E82" s="42" t="s">
        <v>258</v>
      </c>
      <c r="F82" s="65" t="s">
        <v>272</v>
      </c>
      <c r="G82" s="64">
        <v>631855</v>
      </c>
      <c r="H82" s="94">
        <v>14932</v>
      </c>
      <c r="I82" s="94">
        <v>14212</v>
      </c>
      <c r="J82" s="94">
        <v>13827</v>
      </c>
      <c r="K82" s="94">
        <v>13441</v>
      </c>
      <c r="L82" s="94">
        <v>13064</v>
      </c>
      <c r="M82" s="94">
        <v>12668</v>
      </c>
      <c r="N82" s="94">
        <f>12282+72828</f>
        <v>85110</v>
      </c>
      <c r="O82" s="58">
        <f t="shared" si="6"/>
        <v>167254</v>
      </c>
    </row>
    <row r="83" spans="1:15" s="17" customFormat="1" ht="38.25">
      <c r="A83" s="16"/>
      <c r="B83" s="70" t="s">
        <v>91</v>
      </c>
      <c r="C83" s="48" t="s">
        <v>94</v>
      </c>
      <c r="D83" s="48" t="s">
        <v>248</v>
      </c>
      <c r="E83" s="42" t="s">
        <v>259</v>
      </c>
      <c r="F83" s="65" t="s">
        <v>141</v>
      </c>
      <c r="G83" s="64">
        <v>284293</v>
      </c>
      <c r="H83" s="94">
        <v>17655</v>
      </c>
      <c r="I83" s="94">
        <v>16646</v>
      </c>
      <c r="J83" s="94">
        <v>16187</v>
      </c>
      <c r="K83" s="94">
        <v>15735</v>
      </c>
      <c r="L83" s="94">
        <v>15294</v>
      </c>
      <c r="M83" s="94">
        <v>14830</v>
      </c>
      <c r="N83" s="94">
        <f>14378+85276</f>
        <v>99654</v>
      </c>
      <c r="O83" s="58">
        <f>SUM(H83:N83)</f>
        <v>196001</v>
      </c>
    </row>
    <row r="84" spans="1:15" s="17" customFormat="1" ht="38.25">
      <c r="A84" s="16"/>
      <c r="B84" s="70" t="s">
        <v>92</v>
      </c>
      <c r="C84" s="48" t="s">
        <v>94</v>
      </c>
      <c r="D84" s="48" t="s">
        <v>249</v>
      </c>
      <c r="E84" s="42" t="s">
        <v>260</v>
      </c>
      <c r="F84" s="65" t="s">
        <v>151</v>
      </c>
      <c r="G84" s="64">
        <v>155383</v>
      </c>
      <c r="H84" s="94">
        <v>12913</v>
      </c>
      <c r="I84" s="94">
        <v>12251</v>
      </c>
      <c r="J84" s="94">
        <v>11927</v>
      </c>
      <c r="K84" s="94">
        <v>11603</v>
      </c>
      <c r="L84" s="94">
        <v>11288</v>
      </c>
      <c r="M84" s="94">
        <v>10955</v>
      </c>
      <c r="N84" s="94">
        <f>10631+71425</f>
        <v>82056</v>
      </c>
      <c r="O84" s="58">
        <f t="shared" si="6"/>
        <v>152993</v>
      </c>
    </row>
    <row r="85" spans="1:15" s="17" customFormat="1" ht="25.5">
      <c r="A85" s="16"/>
      <c r="B85" s="70" t="s">
        <v>93</v>
      </c>
      <c r="C85" s="48" t="s">
        <v>94</v>
      </c>
      <c r="D85" s="48" t="s">
        <v>280</v>
      </c>
      <c r="E85" s="42" t="s">
        <v>281</v>
      </c>
      <c r="F85" s="65" t="s">
        <v>288</v>
      </c>
      <c r="G85" s="64">
        <v>124130</v>
      </c>
      <c r="H85" s="94">
        <v>12408</v>
      </c>
      <c r="I85" s="94">
        <v>11407</v>
      </c>
      <c r="J85" s="94">
        <v>11118</v>
      </c>
      <c r="K85" s="94">
        <v>10842</v>
      </c>
      <c r="L85" s="94">
        <v>10575</v>
      </c>
      <c r="M85" s="94">
        <v>10288</v>
      </c>
      <c r="N85" s="94">
        <f>10011+90179</f>
        <v>100190</v>
      </c>
      <c r="O85" s="58">
        <f t="shared" si="6"/>
        <v>166828</v>
      </c>
    </row>
    <row r="86" spans="1:15" s="17" customFormat="1" ht="51">
      <c r="A86" s="16"/>
      <c r="B86" s="70" t="s">
        <v>231</v>
      </c>
      <c r="C86" s="48" t="s">
        <v>94</v>
      </c>
      <c r="D86" s="48" t="s">
        <v>250</v>
      </c>
      <c r="E86" s="42" t="s">
        <v>261</v>
      </c>
      <c r="F86" s="65" t="s">
        <v>131</v>
      </c>
      <c r="G86" s="64">
        <v>272345</v>
      </c>
      <c r="H86" s="94">
        <v>31765</v>
      </c>
      <c r="I86" s="94">
        <v>30341</v>
      </c>
      <c r="J86" s="94">
        <v>29269</v>
      </c>
      <c r="K86" s="94">
        <v>28210</v>
      </c>
      <c r="L86" s="94">
        <v>27153</v>
      </c>
      <c r="M86" s="94">
        <v>15293</v>
      </c>
      <c r="N86" s="94">
        <v>0</v>
      </c>
      <c r="O86" s="58">
        <f t="shared" si="6"/>
        <v>162031</v>
      </c>
    </row>
    <row r="87" spans="1:15" s="17" customFormat="1" ht="38.25">
      <c r="A87" s="16"/>
      <c r="B87" s="70" t="s">
        <v>232</v>
      </c>
      <c r="C87" s="48" t="s">
        <v>94</v>
      </c>
      <c r="D87" s="48" t="s">
        <v>364</v>
      </c>
      <c r="E87" s="42" t="s">
        <v>262</v>
      </c>
      <c r="F87" s="65" t="s">
        <v>273</v>
      </c>
      <c r="G87" s="64">
        <v>800000</v>
      </c>
      <c r="H87" s="94">
        <v>24038</v>
      </c>
      <c r="I87" s="94">
        <v>23259</v>
      </c>
      <c r="J87" s="94">
        <v>22486</v>
      </c>
      <c r="K87" s="94">
        <v>21710</v>
      </c>
      <c r="L87" s="94">
        <v>20939</v>
      </c>
      <c r="M87" s="94">
        <v>20158</v>
      </c>
      <c r="N87" s="94">
        <f>18045+30</f>
        <v>18075</v>
      </c>
      <c r="O87" s="58">
        <f t="shared" si="6"/>
        <v>150665</v>
      </c>
    </row>
    <row r="88" spans="1:15" s="17" customFormat="1" ht="51">
      <c r="A88" s="16"/>
      <c r="B88" s="70" t="s">
        <v>233</v>
      </c>
      <c r="C88" s="48" t="s">
        <v>94</v>
      </c>
      <c r="D88" s="48" t="s">
        <v>251</v>
      </c>
      <c r="E88" s="42" t="s">
        <v>263</v>
      </c>
      <c r="F88" s="65" t="s">
        <v>143</v>
      </c>
      <c r="G88" s="64">
        <v>28000</v>
      </c>
      <c r="H88" s="94">
        <v>662</v>
      </c>
      <c r="I88" s="94">
        <v>165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58">
        <f t="shared" si="6"/>
        <v>827</v>
      </c>
    </row>
    <row r="89" spans="1:15" s="17" customFormat="1" ht="25.5">
      <c r="A89" s="16"/>
      <c r="B89" s="70" t="s">
        <v>234</v>
      </c>
      <c r="C89" s="48" t="s">
        <v>94</v>
      </c>
      <c r="D89" s="48" t="s">
        <v>252</v>
      </c>
      <c r="E89" s="42" t="s">
        <v>264</v>
      </c>
      <c r="F89" s="65" t="s">
        <v>226</v>
      </c>
      <c r="G89" s="64">
        <v>179465</v>
      </c>
      <c r="H89" s="94">
        <v>27432</v>
      </c>
      <c r="I89" s="94">
        <v>25457</v>
      </c>
      <c r="J89" s="94">
        <v>24683</v>
      </c>
      <c r="K89" s="94">
        <v>23926</v>
      </c>
      <c r="L89" s="94">
        <v>23184</v>
      </c>
      <c r="M89" s="94">
        <v>22412</v>
      </c>
      <c r="N89" s="94">
        <f>21657+90661</f>
        <v>112318</v>
      </c>
      <c r="O89" s="58">
        <f aca="true" t="shared" si="7" ref="O89:O99">SUM(H89:N89)</f>
        <v>259412</v>
      </c>
    </row>
    <row r="90" spans="1:15" s="17" customFormat="1" ht="63.75">
      <c r="A90" s="16"/>
      <c r="B90" s="70" t="s">
        <v>235</v>
      </c>
      <c r="C90" s="74" t="s">
        <v>94</v>
      </c>
      <c r="D90" s="74" t="s">
        <v>355</v>
      </c>
      <c r="E90" s="75" t="s">
        <v>264</v>
      </c>
      <c r="F90" s="76" t="s">
        <v>226</v>
      </c>
      <c r="G90" s="77">
        <v>337066</v>
      </c>
      <c r="H90" s="94">
        <v>16956</v>
      </c>
      <c r="I90" s="94">
        <v>15615</v>
      </c>
      <c r="J90" s="94">
        <v>15198</v>
      </c>
      <c r="K90" s="94">
        <v>14795</v>
      </c>
      <c r="L90" s="94">
        <v>14406</v>
      </c>
      <c r="M90" s="94">
        <v>13989</v>
      </c>
      <c r="N90" s="94">
        <f>13587+111427</f>
        <v>125014</v>
      </c>
      <c r="O90" s="98">
        <f t="shared" si="7"/>
        <v>215973</v>
      </c>
    </row>
    <row r="91" spans="1:15" s="17" customFormat="1" ht="25.5">
      <c r="A91" s="16"/>
      <c r="B91" s="70" t="s">
        <v>236</v>
      </c>
      <c r="C91" s="48" t="s">
        <v>94</v>
      </c>
      <c r="D91" s="80" t="s">
        <v>307</v>
      </c>
      <c r="E91" s="81" t="s">
        <v>304</v>
      </c>
      <c r="F91" s="65" t="s">
        <v>309</v>
      </c>
      <c r="G91" s="64">
        <v>426783</v>
      </c>
      <c r="H91" s="94">
        <v>42823</v>
      </c>
      <c r="I91" s="94">
        <v>43544</v>
      </c>
      <c r="J91" s="94">
        <v>42366</v>
      </c>
      <c r="K91" s="94">
        <v>41184</v>
      </c>
      <c r="L91" s="94">
        <v>40051</v>
      </c>
      <c r="M91" s="94">
        <v>38820</v>
      </c>
      <c r="N91" s="94">
        <f>37639+370975</f>
        <v>408614</v>
      </c>
      <c r="O91" s="98">
        <f t="shared" si="7"/>
        <v>657402</v>
      </c>
    </row>
    <row r="92" spans="1:15" s="17" customFormat="1" ht="38.25">
      <c r="A92" s="16"/>
      <c r="B92" s="70" t="s">
        <v>237</v>
      </c>
      <c r="C92" s="48" t="s">
        <v>94</v>
      </c>
      <c r="D92" s="80" t="s">
        <v>356</v>
      </c>
      <c r="E92" s="81" t="s">
        <v>303</v>
      </c>
      <c r="F92" s="65" t="s">
        <v>310</v>
      </c>
      <c r="G92" s="64">
        <v>328724</v>
      </c>
      <c r="H92" s="94">
        <v>31705</v>
      </c>
      <c r="I92" s="94">
        <v>35058</v>
      </c>
      <c r="J92" s="94">
        <v>34082</v>
      </c>
      <c r="K92" s="94">
        <v>33102</v>
      </c>
      <c r="L92" s="94">
        <v>32163</v>
      </c>
      <c r="M92" s="94">
        <v>31142</v>
      </c>
      <c r="N92" s="94">
        <f>30163+298825</f>
        <v>328988</v>
      </c>
      <c r="O92" s="98">
        <f t="shared" si="7"/>
        <v>526240</v>
      </c>
    </row>
    <row r="93" spans="1:15" s="17" customFormat="1" ht="38.25">
      <c r="A93" s="16"/>
      <c r="B93" s="70" t="s">
        <v>238</v>
      </c>
      <c r="C93" s="48" t="s">
        <v>94</v>
      </c>
      <c r="D93" s="80" t="s">
        <v>357</v>
      </c>
      <c r="E93" s="81" t="s">
        <v>303</v>
      </c>
      <c r="F93" s="65" t="s">
        <v>311</v>
      </c>
      <c r="G93" s="64">
        <v>175583</v>
      </c>
      <c r="H93" s="94">
        <v>23027</v>
      </c>
      <c r="I93" s="94">
        <v>26821</v>
      </c>
      <c r="J93" s="94">
        <v>25853</v>
      </c>
      <c r="K93" s="94">
        <v>24882</v>
      </c>
      <c r="L93" s="94">
        <v>23924</v>
      </c>
      <c r="M93" s="94">
        <v>22939</v>
      </c>
      <c r="N93" s="94">
        <f>21969+55420</f>
        <v>77389</v>
      </c>
      <c r="O93" s="98">
        <f t="shared" si="7"/>
        <v>224835</v>
      </c>
    </row>
    <row r="94" spans="1:15" s="17" customFormat="1" ht="25.5">
      <c r="A94" s="16"/>
      <c r="B94" s="70" t="s">
        <v>239</v>
      </c>
      <c r="C94" s="48" t="s">
        <v>94</v>
      </c>
      <c r="D94" s="80" t="s">
        <v>308</v>
      </c>
      <c r="E94" s="81" t="s">
        <v>304</v>
      </c>
      <c r="F94" s="65" t="s">
        <v>312</v>
      </c>
      <c r="G94" s="64">
        <v>160353</v>
      </c>
      <c r="H94" s="94">
        <v>20599</v>
      </c>
      <c r="I94" s="94">
        <v>19185</v>
      </c>
      <c r="J94" s="94">
        <v>18412</v>
      </c>
      <c r="K94" s="94">
        <v>17636</v>
      </c>
      <c r="L94" s="94">
        <v>16864</v>
      </c>
      <c r="M94" s="94">
        <v>16084</v>
      </c>
      <c r="N94" s="94">
        <v>6972</v>
      </c>
      <c r="O94" s="98">
        <f t="shared" si="7"/>
        <v>115752</v>
      </c>
    </row>
    <row r="95" spans="1:15" s="17" customFormat="1" ht="38.25">
      <c r="A95" s="16"/>
      <c r="B95" s="70" t="s">
        <v>298</v>
      </c>
      <c r="C95" s="85" t="s">
        <v>94</v>
      </c>
      <c r="D95" s="85" t="s">
        <v>300</v>
      </c>
      <c r="E95" s="86" t="s">
        <v>297</v>
      </c>
      <c r="F95" s="87" t="s">
        <v>301</v>
      </c>
      <c r="G95" s="88">
        <v>146757</v>
      </c>
      <c r="H95" s="94">
        <v>16050</v>
      </c>
      <c r="I95" s="94">
        <v>15015</v>
      </c>
      <c r="J95" s="94">
        <v>14552</v>
      </c>
      <c r="K95" s="94">
        <v>14140</v>
      </c>
      <c r="L95" s="94">
        <v>13745</v>
      </c>
      <c r="M95" s="94">
        <v>13317</v>
      </c>
      <c r="N95" s="94">
        <f>12906+122825</f>
        <v>135731</v>
      </c>
      <c r="O95" s="99">
        <f t="shared" si="7"/>
        <v>222550</v>
      </c>
    </row>
    <row r="96" spans="1:15" s="17" customFormat="1" ht="38.25">
      <c r="A96" s="16"/>
      <c r="B96" s="70" t="s">
        <v>299</v>
      </c>
      <c r="C96" s="82" t="s">
        <v>94</v>
      </c>
      <c r="D96" s="82" t="s">
        <v>302</v>
      </c>
      <c r="E96" s="81" t="s">
        <v>297</v>
      </c>
      <c r="F96" s="83" t="s">
        <v>301</v>
      </c>
      <c r="G96" s="84">
        <v>285180</v>
      </c>
      <c r="H96" s="94">
        <v>31190</v>
      </c>
      <c r="I96" s="94">
        <v>29180</v>
      </c>
      <c r="J96" s="94">
        <v>28279</v>
      </c>
      <c r="K96" s="94">
        <v>27479</v>
      </c>
      <c r="L96" s="94">
        <v>26711</v>
      </c>
      <c r="M96" s="94">
        <v>25879</v>
      </c>
      <c r="N96" s="94">
        <f>25080+238691</f>
        <v>263771</v>
      </c>
      <c r="O96" s="58">
        <f t="shared" si="7"/>
        <v>432489</v>
      </c>
    </row>
    <row r="97" spans="1:15" s="17" customFormat="1" ht="25.5">
      <c r="A97" s="16"/>
      <c r="B97" s="70" t="s">
        <v>305</v>
      </c>
      <c r="C97" s="82" t="s">
        <v>94</v>
      </c>
      <c r="D97" s="80" t="s">
        <v>322</v>
      </c>
      <c r="E97" s="81" t="s">
        <v>320</v>
      </c>
      <c r="F97" s="90" t="s">
        <v>323</v>
      </c>
      <c r="G97" s="91">
        <v>52030</v>
      </c>
      <c r="H97" s="94">
        <v>8</v>
      </c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58">
        <f t="shared" si="7"/>
        <v>8</v>
      </c>
    </row>
    <row r="98" spans="1:15" s="17" customFormat="1" ht="51">
      <c r="A98" s="16"/>
      <c r="B98" s="70" t="s">
        <v>306</v>
      </c>
      <c r="C98" s="82" t="s">
        <v>94</v>
      </c>
      <c r="D98" s="92" t="s">
        <v>358</v>
      </c>
      <c r="E98" s="93" t="s">
        <v>314</v>
      </c>
      <c r="F98" s="90" t="s">
        <v>316</v>
      </c>
      <c r="G98" s="91">
        <v>1506011</v>
      </c>
      <c r="H98" s="94">
        <v>98644</v>
      </c>
      <c r="I98" s="94">
        <v>142469</v>
      </c>
      <c r="J98" s="94">
        <v>139294</v>
      </c>
      <c r="K98" s="94">
        <v>136110</v>
      </c>
      <c r="L98" s="94">
        <v>133144</v>
      </c>
      <c r="M98" s="94">
        <v>129738</v>
      </c>
      <c r="N98" s="94">
        <f>126556+2020428</f>
        <v>2146984</v>
      </c>
      <c r="O98" s="58">
        <f t="shared" si="7"/>
        <v>2926383</v>
      </c>
    </row>
    <row r="99" spans="1:15" s="17" customFormat="1" ht="38.25">
      <c r="A99" s="16"/>
      <c r="B99" s="70" t="s">
        <v>321</v>
      </c>
      <c r="C99" s="82" t="s">
        <v>94</v>
      </c>
      <c r="D99" s="92" t="s">
        <v>359</v>
      </c>
      <c r="E99" s="20" t="s">
        <v>313</v>
      </c>
      <c r="F99" s="90" t="s">
        <v>315</v>
      </c>
      <c r="G99" s="91">
        <v>73518</v>
      </c>
      <c r="H99" s="94">
        <v>4296</v>
      </c>
      <c r="I99" s="94">
        <v>10549</v>
      </c>
      <c r="J99" s="94">
        <v>10144</v>
      </c>
      <c r="K99" s="94">
        <v>9739</v>
      </c>
      <c r="L99" s="94">
        <v>9336</v>
      </c>
      <c r="M99" s="94">
        <v>8927</v>
      </c>
      <c r="N99" s="94">
        <f>8522+4719</f>
        <v>13241</v>
      </c>
      <c r="O99" s="58">
        <f t="shared" si="7"/>
        <v>66232</v>
      </c>
    </row>
    <row r="100" spans="1:15" s="17" customFormat="1" ht="12.75">
      <c r="A100" s="16"/>
      <c r="B100" s="73"/>
      <c r="C100" s="74"/>
      <c r="D100" s="74"/>
      <c r="E100" s="75"/>
      <c r="F100" s="76"/>
      <c r="G100" s="77"/>
      <c r="H100" s="89"/>
      <c r="I100" s="89"/>
      <c r="J100" s="89"/>
      <c r="K100" s="89"/>
      <c r="L100" s="89"/>
      <c r="M100" s="89"/>
      <c r="N100" s="89"/>
      <c r="O100" s="89"/>
    </row>
    <row r="101" spans="1:15" s="10" customFormat="1" ht="15.75">
      <c r="A101" s="9"/>
      <c r="B101" s="42"/>
      <c r="C101" s="43" t="s">
        <v>9</v>
      </c>
      <c r="D101" s="42" t="s">
        <v>3</v>
      </c>
      <c r="E101" s="42" t="s">
        <v>3</v>
      </c>
      <c r="F101" s="63" t="s">
        <v>3</v>
      </c>
      <c r="G101" s="42" t="s">
        <v>3</v>
      </c>
      <c r="H101" s="58">
        <f aca="true" t="shared" si="8" ref="H101:N101">SUM(H11:H99)</f>
        <v>2064563</v>
      </c>
      <c r="I101" s="58">
        <f t="shared" si="8"/>
        <v>1969694</v>
      </c>
      <c r="J101" s="58">
        <f t="shared" si="8"/>
        <v>1847078</v>
      </c>
      <c r="K101" s="58">
        <f t="shared" si="8"/>
        <v>1719065</v>
      </c>
      <c r="L101" s="58">
        <f t="shared" si="8"/>
        <v>1531983</v>
      </c>
      <c r="M101" s="58">
        <f t="shared" si="8"/>
        <v>1365781</v>
      </c>
      <c r="N101" s="58">
        <f t="shared" si="8"/>
        <v>10659239</v>
      </c>
      <c r="O101" s="58">
        <f>SUM(O11:O99)</f>
        <v>21157403</v>
      </c>
    </row>
    <row r="102" spans="1:15" s="19" customFormat="1" ht="15.75">
      <c r="A102" s="18"/>
      <c r="B102" s="78"/>
      <c r="C102" s="44"/>
      <c r="D102" s="44"/>
      <c r="E102" s="44"/>
      <c r="F102" s="44"/>
      <c r="G102" s="44"/>
      <c r="H102" s="95">
        <v>2064563</v>
      </c>
      <c r="I102" s="95">
        <v>1969694</v>
      </c>
      <c r="J102" s="95">
        <v>1847078</v>
      </c>
      <c r="K102" s="95">
        <v>1719065</v>
      </c>
      <c r="L102" s="95">
        <v>1531983</v>
      </c>
      <c r="M102" s="95">
        <v>1365781</v>
      </c>
      <c r="N102" s="95">
        <f>1262892+9396347</f>
        <v>10659239</v>
      </c>
      <c r="O102" s="58">
        <f>H102+I102+J102+K102+L102+M102+N102</f>
        <v>21157403</v>
      </c>
    </row>
    <row r="103" spans="1:15" s="19" customFormat="1" ht="15.75">
      <c r="A103" s="18"/>
      <c r="B103" s="79"/>
      <c r="C103" s="55" t="s">
        <v>15</v>
      </c>
      <c r="D103" s="45"/>
      <c r="E103" s="45"/>
      <c r="F103" s="45"/>
      <c r="G103" s="45"/>
      <c r="H103" s="46"/>
      <c r="I103" s="46"/>
      <c r="J103" s="46"/>
      <c r="K103" s="46"/>
      <c r="L103" s="46"/>
      <c r="M103" s="46"/>
      <c r="N103" s="46"/>
      <c r="O103" s="47"/>
    </row>
    <row r="104" spans="1:15" s="19" customFormat="1" ht="25.5">
      <c r="A104" s="18"/>
      <c r="B104" s="42" t="s">
        <v>25</v>
      </c>
      <c r="C104" s="48" t="s">
        <v>205</v>
      </c>
      <c r="D104" s="48" t="s">
        <v>206</v>
      </c>
      <c r="E104" s="42" t="s">
        <v>207</v>
      </c>
      <c r="F104" s="59" t="s">
        <v>208</v>
      </c>
      <c r="G104" s="60">
        <v>130930</v>
      </c>
      <c r="H104" s="94">
        <v>10040</v>
      </c>
      <c r="I104" s="94">
        <v>9840</v>
      </c>
      <c r="J104" s="94">
        <v>8358</v>
      </c>
      <c r="K104" s="94">
        <v>6860</v>
      </c>
      <c r="L104" s="94">
        <v>0</v>
      </c>
      <c r="M104" s="94">
        <v>0</v>
      </c>
      <c r="N104" s="94">
        <v>0</v>
      </c>
      <c r="O104" s="58">
        <f aca="true" t="shared" si="9" ref="O104:O112">SUM(H104:N104)</f>
        <v>35098</v>
      </c>
    </row>
    <row r="105" spans="1:15" s="19" customFormat="1" ht="15.75">
      <c r="A105" s="18"/>
      <c r="B105" s="42" t="s">
        <v>26</v>
      </c>
      <c r="C105" s="48" t="s">
        <v>209</v>
      </c>
      <c r="D105" s="48" t="s">
        <v>210</v>
      </c>
      <c r="E105" s="42" t="s">
        <v>211</v>
      </c>
      <c r="F105" s="59" t="s">
        <v>212</v>
      </c>
      <c r="G105" s="60">
        <v>2846</v>
      </c>
      <c r="H105" s="94">
        <v>6</v>
      </c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  <c r="O105" s="58">
        <f t="shared" si="9"/>
        <v>6</v>
      </c>
    </row>
    <row r="106" spans="1:15" s="19" customFormat="1" ht="15.75">
      <c r="A106" s="18"/>
      <c r="B106" s="42" t="s">
        <v>27</v>
      </c>
      <c r="C106" s="48" t="s">
        <v>213</v>
      </c>
      <c r="D106" s="48" t="s">
        <v>210</v>
      </c>
      <c r="E106" s="42" t="s">
        <v>214</v>
      </c>
      <c r="F106" s="59" t="s">
        <v>215</v>
      </c>
      <c r="G106" s="60">
        <v>2988</v>
      </c>
      <c r="H106" s="94">
        <v>195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58">
        <f t="shared" si="9"/>
        <v>195</v>
      </c>
    </row>
    <row r="107" spans="1:15" s="19" customFormat="1" ht="15.75">
      <c r="A107" s="18"/>
      <c r="B107" s="42" t="s">
        <v>28</v>
      </c>
      <c r="C107" s="48" t="s">
        <v>213</v>
      </c>
      <c r="D107" s="48" t="s">
        <v>210</v>
      </c>
      <c r="E107" s="42" t="s">
        <v>216</v>
      </c>
      <c r="F107" s="59" t="s">
        <v>217</v>
      </c>
      <c r="G107" s="60">
        <v>2846</v>
      </c>
      <c r="H107" s="94">
        <v>253</v>
      </c>
      <c r="I107" s="94">
        <v>222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58">
        <f t="shared" si="9"/>
        <v>475</v>
      </c>
    </row>
    <row r="108" spans="1:15" s="19" customFormat="1" ht="38.25">
      <c r="A108" s="18"/>
      <c r="B108" s="42" t="s">
        <v>29</v>
      </c>
      <c r="C108" s="48" t="s">
        <v>94</v>
      </c>
      <c r="D108" s="48" t="s">
        <v>360</v>
      </c>
      <c r="E108" s="42" t="s">
        <v>218</v>
      </c>
      <c r="F108" s="59" t="s">
        <v>219</v>
      </c>
      <c r="G108" s="60">
        <v>54523</v>
      </c>
      <c r="H108" s="94">
        <v>3982</v>
      </c>
      <c r="I108" s="94">
        <v>3855</v>
      </c>
      <c r="J108" s="94">
        <v>3731</v>
      </c>
      <c r="K108" s="94">
        <v>3607</v>
      </c>
      <c r="L108" s="94">
        <v>3485</v>
      </c>
      <c r="M108" s="94">
        <v>3359</v>
      </c>
      <c r="N108" s="94">
        <f>3235+9669</f>
        <v>12904</v>
      </c>
      <c r="O108" s="58">
        <f t="shared" si="9"/>
        <v>34923</v>
      </c>
    </row>
    <row r="109" spans="1:15" s="19" customFormat="1" ht="25.5">
      <c r="A109" s="18"/>
      <c r="B109" s="42" t="s">
        <v>30</v>
      </c>
      <c r="C109" s="80" t="s">
        <v>94</v>
      </c>
      <c r="D109" s="80" t="s">
        <v>294</v>
      </c>
      <c r="E109" s="81" t="s">
        <v>295</v>
      </c>
      <c r="F109" s="59" t="s">
        <v>296</v>
      </c>
      <c r="G109" s="60">
        <v>100000</v>
      </c>
      <c r="H109" s="94">
        <v>60685</v>
      </c>
      <c r="I109" s="94">
        <v>124</v>
      </c>
      <c r="J109" s="94">
        <v>0</v>
      </c>
      <c r="K109" s="94">
        <v>0</v>
      </c>
      <c r="L109" s="94">
        <v>0</v>
      </c>
      <c r="M109" s="94">
        <v>0</v>
      </c>
      <c r="N109" s="94">
        <v>0</v>
      </c>
      <c r="O109" s="58">
        <f t="shared" si="9"/>
        <v>60809</v>
      </c>
    </row>
    <row r="110" spans="1:15" s="19" customFormat="1" ht="38.25">
      <c r="A110" s="18"/>
      <c r="B110" s="42" t="s">
        <v>31</v>
      </c>
      <c r="C110" s="48" t="s">
        <v>94</v>
      </c>
      <c r="D110" s="48" t="s">
        <v>361</v>
      </c>
      <c r="E110" s="42" t="s">
        <v>220</v>
      </c>
      <c r="F110" s="59" t="s">
        <v>221</v>
      </c>
      <c r="G110" s="60">
        <v>742956</v>
      </c>
      <c r="H110" s="94">
        <v>35786</v>
      </c>
      <c r="I110" s="94">
        <v>35274</v>
      </c>
      <c r="J110" s="94">
        <v>34794</v>
      </c>
      <c r="K110" s="94">
        <v>34313</v>
      </c>
      <c r="L110" s="94">
        <v>33858</v>
      </c>
      <c r="M110" s="94">
        <v>33350</v>
      </c>
      <c r="N110" s="94">
        <f>32869+503503</f>
        <v>536372</v>
      </c>
      <c r="O110" s="58">
        <f t="shared" si="9"/>
        <v>743747</v>
      </c>
    </row>
    <row r="111" spans="1:15" s="19" customFormat="1" ht="15.75">
      <c r="A111" s="18"/>
      <c r="B111" s="42" t="s">
        <v>32</v>
      </c>
      <c r="C111" s="48" t="s">
        <v>222</v>
      </c>
      <c r="D111" s="48" t="s">
        <v>223</v>
      </c>
      <c r="E111" s="42" t="s">
        <v>224</v>
      </c>
      <c r="F111" s="59" t="s">
        <v>225</v>
      </c>
      <c r="G111" s="60">
        <v>284574</v>
      </c>
      <c r="H111" s="94">
        <v>12646</v>
      </c>
      <c r="I111" s="94">
        <v>12646</v>
      </c>
      <c r="J111" s="94">
        <v>12646</v>
      </c>
      <c r="K111" s="94">
        <v>12646</v>
      </c>
      <c r="L111" s="94">
        <v>12646</v>
      </c>
      <c r="M111" s="94">
        <v>12646</v>
      </c>
      <c r="N111" s="94">
        <f>12646+44296</f>
        <v>56942</v>
      </c>
      <c r="O111" s="58">
        <f t="shared" si="9"/>
        <v>132818</v>
      </c>
    </row>
    <row r="112" spans="1:15" s="19" customFormat="1" ht="25.5">
      <c r="A112" s="18"/>
      <c r="B112" s="42" t="s">
        <v>33</v>
      </c>
      <c r="C112" s="48" t="s">
        <v>205</v>
      </c>
      <c r="D112" s="48" t="s">
        <v>362</v>
      </c>
      <c r="E112" s="42" t="s">
        <v>207</v>
      </c>
      <c r="F112" s="59" t="s">
        <v>265</v>
      </c>
      <c r="G112" s="60">
        <v>61726</v>
      </c>
      <c r="H112" s="94">
        <v>3632</v>
      </c>
      <c r="I112" s="94">
        <v>3632</v>
      </c>
      <c r="J112" s="94">
        <v>3622</v>
      </c>
      <c r="K112" s="94">
        <v>0</v>
      </c>
      <c r="L112" s="94">
        <v>0</v>
      </c>
      <c r="M112" s="94">
        <v>0</v>
      </c>
      <c r="N112" s="94">
        <v>0</v>
      </c>
      <c r="O112" s="58">
        <f t="shared" si="9"/>
        <v>10886</v>
      </c>
    </row>
    <row r="113" spans="1:15" s="19" customFormat="1" ht="15.75">
      <c r="A113" s="18"/>
      <c r="B113" s="42"/>
      <c r="C113" s="48"/>
      <c r="D113" s="48"/>
      <c r="E113" s="42"/>
      <c r="F113" s="59"/>
      <c r="G113" s="60"/>
      <c r="H113" s="57"/>
      <c r="I113" s="57"/>
      <c r="J113" s="57"/>
      <c r="K113" s="57"/>
      <c r="L113" s="57"/>
      <c r="M113" s="57"/>
      <c r="N113" s="57"/>
      <c r="O113" s="58"/>
    </row>
    <row r="114" spans="1:15" s="10" customFormat="1" ht="15.75">
      <c r="A114" s="9"/>
      <c r="B114" s="42"/>
      <c r="C114" s="49" t="s">
        <v>9</v>
      </c>
      <c r="D114" s="42" t="s">
        <v>3</v>
      </c>
      <c r="E114" s="42" t="s">
        <v>3</v>
      </c>
      <c r="F114" s="42" t="s">
        <v>3</v>
      </c>
      <c r="G114" s="42" t="s">
        <v>3</v>
      </c>
      <c r="H114" s="58">
        <f aca="true" t="shared" si="10" ref="H114:O114">SUM(H104:H112)</f>
        <v>127225</v>
      </c>
      <c r="I114" s="58">
        <f t="shared" si="10"/>
        <v>65593</v>
      </c>
      <c r="J114" s="58">
        <f t="shared" si="10"/>
        <v>63151</v>
      </c>
      <c r="K114" s="58">
        <f t="shared" si="10"/>
        <v>57426</v>
      </c>
      <c r="L114" s="58">
        <f t="shared" si="10"/>
        <v>49989</v>
      </c>
      <c r="M114" s="58">
        <f t="shared" si="10"/>
        <v>49355</v>
      </c>
      <c r="N114" s="58">
        <f t="shared" si="10"/>
        <v>606218</v>
      </c>
      <c r="O114" s="58">
        <f t="shared" si="10"/>
        <v>1018957</v>
      </c>
    </row>
    <row r="115" spans="1:15" s="10" customFormat="1" ht="15.75">
      <c r="A115" s="9"/>
      <c r="B115" s="20"/>
      <c r="C115" s="62"/>
      <c r="D115" s="62"/>
      <c r="E115" s="62"/>
      <c r="F115" s="62"/>
      <c r="G115" s="62"/>
      <c r="H115" s="95">
        <v>127225</v>
      </c>
      <c r="I115" s="95">
        <v>65593</v>
      </c>
      <c r="J115" s="95">
        <v>63151</v>
      </c>
      <c r="K115" s="95">
        <v>57426</v>
      </c>
      <c r="L115" s="95">
        <v>49989</v>
      </c>
      <c r="M115" s="95">
        <v>49355</v>
      </c>
      <c r="N115" s="95">
        <f>48750+O115</f>
        <v>1067707</v>
      </c>
      <c r="O115" s="95">
        <v>1018957</v>
      </c>
    </row>
    <row r="116" spans="1:15" s="10" customFormat="1" ht="15.75">
      <c r="A116" s="9"/>
      <c r="B116" s="21"/>
      <c r="C116" s="50" t="s">
        <v>16</v>
      </c>
      <c r="D116" s="40" t="s">
        <v>3</v>
      </c>
      <c r="E116" s="40" t="s">
        <v>3</v>
      </c>
      <c r="F116" s="40" t="s">
        <v>3</v>
      </c>
      <c r="G116" s="40" t="s">
        <v>3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41">
        <f>SUM(H116:N116)</f>
        <v>0</v>
      </c>
    </row>
    <row r="117" spans="1:15" s="10" customFormat="1" ht="15.75">
      <c r="A117" s="9"/>
      <c r="B117" s="21"/>
      <c r="C117" s="50"/>
      <c r="D117" s="50"/>
      <c r="E117" s="50"/>
      <c r="F117" s="50"/>
      <c r="G117" s="50"/>
      <c r="H117" s="89"/>
      <c r="I117" s="89"/>
      <c r="J117" s="89"/>
      <c r="K117" s="89"/>
      <c r="L117" s="89"/>
      <c r="M117" s="89"/>
      <c r="N117" s="89"/>
      <c r="O117" s="89"/>
    </row>
    <row r="118" spans="1:15" s="10" customFormat="1" ht="15.75">
      <c r="A118" s="9"/>
      <c r="B118" s="21"/>
      <c r="C118" s="50" t="s">
        <v>17</v>
      </c>
      <c r="D118" s="51"/>
      <c r="E118" s="51"/>
      <c r="F118" s="51"/>
      <c r="G118" s="51"/>
      <c r="H118" s="41">
        <f aca="true" t="shared" si="11" ref="H118:N118">H101+H114</f>
        <v>2191788</v>
      </c>
      <c r="I118" s="41">
        <f t="shared" si="11"/>
        <v>2035287</v>
      </c>
      <c r="J118" s="41">
        <f t="shared" si="11"/>
        <v>1910229</v>
      </c>
      <c r="K118" s="41">
        <f t="shared" si="11"/>
        <v>1776491</v>
      </c>
      <c r="L118" s="41">
        <f t="shared" si="11"/>
        <v>1581972</v>
      </c>
      <c r="M118" s="41">
        <f t="shared" si="11"/>
        <v>1415136</v>
      </c>
      <c r="N118" s="41">
        <f t="shared" si="11"/>
        <v>11265457</v>
      </c>
      <c r="O118" s="41">
        <f>SUM(H118:N118)</f>
        <v>22176360</v>
      </c>
    </row>
    <row r="119" spans="1:15" s="10" customFormat="1" ht="15.75">
      <c r="A119" s="9"/>
      <c r="B119" s="21"/>
      <c r="C119" s="49"/>
      <c r="D119" s="49"/>
      <c r="E119" s="49"/>
      <c r="F119" s="49"/>
      <c r="G119" s="49"/>
      <c r="H119" s="61"/>
      <c r="I119" s="61"/>
      <c r="J119" s="61"/>
      <c r="K119" s="61"/>
      <c r="L119" s="61"/>
      <c r="M119" s="61"/>
      <c r="N119" s="61"/>
      <c r="O119" s="61"/>
    </row>
    <row r="120" spans="1:15" s="10" customFormat="1" ht="18.75" customHeight="1">
      <c r="A120" s="9"/>
      <c r="B120" s="21"/>
      <c r="C120" s="105" t="s">
        <v>18</v>
      </c>
      <c r="D120" s="105"/>
      <c r="E120" s="105"/>
      <c r="F120" s="48"/>
      <c r="G120" s="48"/>
      <c r="H120" s="52">
        <f>H118/O122*100</f>
        <v>6.662449341717037</v>
      </c>
      <c r="I120" s="52">
        <f>I118/O122*100</f>
        <v>6.186728156808616</v>
      </c>
      <c r="J120" s="52">
        <f>J118/O122*100</f>
        <v>5.8065852826910245</v>
      </c>
      <c r="K120" s="52">
        <f>K118/O122*100</f>
        <v>5.400057529978374</v>
      </c>
      <c r="L120" s="52">
        <f>L118/O122*100</f>
        <v>4.808771792716624</v>
      </c>
      <c r="M120" s="52">
        <f>M118/O122*100</f>
        <v>4.3016349718312545</v>
      </c>
      <c r="N120" s="52" t="s">
        <v>35</v>
      </c>
      <c r="O120" s="53" t="s">
        <v>35</v>
      </c>
    </row>
    <row r="121" spans="1:15" s="10" customFormat="1" ht="15.75">
      <c r="A121" s="9"/>
      <c r="B121" s="22"/>
      <c r="C121" s="23"/>
      <c r="D121" s="24"/>
      <c r="E121" s="24"/>
      <c r="F121" s="24"/>
      <c r="G121" s="24"/>
      <c r="H121" s="95">
        <v>2191788</v>
      </c>
      <c r="I121" s="95">
        <v>2035287</v>
      </c>
      <c r="J121" s="95">
        <v>1910229</v>
      </c>
      <c r="K121" s="95">
        <v>1776491</v>
      </c>
      <c r="L121" s="95">
        <v>1581972</v>
      </c>
      <c r="M121" s="95">
        <v>1415136</v>
      </c>
      <c r="N121" s="95">
        <f>1311642+9953815</f>
        <v>11265457</v>
      </c>
      <c r="O121" s="95">
        <f>H121+I121+J121+K121+L121+M121+N121</f>
        <v>22176360</v>
      </c>
    </row>
    <row r="122" spans="1:15" s="10" customFormat="1" ht="48" customHeight="1">
      <c r="A122" s="9"/>
      <c r="B122" s="22"/>
      <c r="C122" s="107" t="s">
        <v>19</v>
      </c>
      <c r="D122" s="107"/>
      <c r="E122" s="107"/>
      <c r="F122" s="56"/>
      <c r="G122" s="56"/>
      <c r="H122" s="25"/>
      <c r="I122" s="25"/>
      <c r="J122" s="25"/>
      <c r="K122" s="25"/>
      <c r="L122" s="25"/>
      <c r="M122" s="25"/>
      <c r="N122" s="25"/>
      <c r="O122" s="96">
        <f>46919785-76259-12756265-1189630</f>
        <v>32897631</v>
      </c>
    </row>
    <row r="123" spans="1:15" s="10" customFormat="1" ht="15.75">
      <c r="A123" s="9"/>
      <c r="B123" s="26"/>
      <c r="C123" s="27"/>
      <c r="D123" s="28"/>
      <c r="E123" s="28"/>
      <c r="F123" s="28"/>
      <c r="G123" s="28"/>
      <c r="H123" s="29"/>
      <c r="I123" s="29"/>
      <c r="J123" s="29"/>
      <c r="K123" s="29"/>
      <c r="L123" s="29"/>
      <c r="M123" s="29"/>
      <c r="N123" s="29"/>
      <c r="O123" s="30"/>
    </row>
    <row r="125" spans="1:7" s="5" customFormat="1" ht="15">
      <c r="A125" s="66"/>
      <c r="B125" s="68"/>
      <c r="D125" s="68"/>
      <c r="E125" s="68"/>
      <c r="F125" s="4"/>
      <c r="G125" s="4"/>
    </row>
    <row r="126" spans="1:7" s="5" customFormat="1" ht="12.75">
      <c r="A126" s="6"/>
      <c r="B126" s="108"/>
      <c r="C126" s="108"/>
      <c r="D126" s="108"/>
      <c r="E126" s="6"/>
      <c r="F126" s="6"/>
      <c r="G126" s="6"/>
    </row>
    <row r="127" spans="2:7" s="3" customFormat="1" ht="12.75">
      <c r="B127" s="7"/>
      <c r="C127" s="8"/>
      <c r="D127" s="8"/>
      <c r="E127" s="8"/>
      <c r="F127" s="8"/>
      <c r="G127" s="8"/>
    </row>
    <row r="128" spans="1:7" s="3" customFormat="1" ht="12.75">
      <c r="A128" s="6"/>
      <c r="B128" s="108"/>
      <c r="C128" s="108"/>
      <c r="D128" s="108"/>
      <c r="E128" s="108"/>
      <c r="F128" s="6"/>
      <c r="G128" s="6"/>
    </row>
    <row r="129" spans="2:7" s="3" customFormat="1" ht="12.75">
      <c r="B129" s="7"/>
      <c r="C129" s="8"/>
      <c r="D129" s="8"/>
      <c r="E129" s="8"/>
      <c r="F129" s="8"/>
      <c r="G129" s="8"/>
    </row>
    <row r="130" spans="2:7" s="3" customFormat="1" ht="12.75">
      <c r="B130" s="7"/>
      <c r="C130" s="8"/>
      <c r="D130" s="8"/>
      <c r="E130" s="8"/>
      <c r="F130" s="8"/>
      <c r="G130" s="8"/>
    </row>
    <row r="131" spans="2:7" s="3" customFormat="1" ht="12.75">
      <c r="B131" s="7"/>
      <c r="C131" s="8"/>
      <c r="D131" s="8"/>
      <c r="E131" s="8"/>
      <c r="F131" s="8"/>
      <c r="G131" s="8"/>
    </row>
  </sheetData>
  <sheetProtection selectLockedCells="1" selectUnlockedCells="1"/>
  <mergeCells count="15">
    <mergeCell ref="C122:E122"/>
    <mergeCell ref="B6:B7"/>
    <mergeCell ref="C6:C7"/>
    <mergeCell ref="B126:D126"/>
    <mergeCell ref="B128:E128"/>
    <mergeCell ref="D6:D7"/>
    <mergeCell ref="E6:E7"/>
    <mergeCell ref="H6:O6"/>
    <mergeCell ref="C1:O1"/>
    <mergeCell ref="B2:O2"/>
    <mergeCell ref="B3:O3"/>
    <mergeCell ref="C4:O4"/>
    <mergeCell ref="C120:E120"/>
    <mergeCell ref="F6:F7"/>
    <mergeCell ref="G6:G7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56" r:id="rId1"/>
  <headerFooter alignWithMargins="0">
    <oddFooter>&amp;L&amp;"Times New Roman,Regular"4-SAI; Pārskats par saistību apmēru&amp;R&amp;"Times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Sanita Djadela</cp:lastModifiedBy>
  <cp:lastPrinted>2024-04-24T05:32:10Z</cp:lastPrinted>
  <dcterms:created xsi:type="dcterms:W3CDTF">2017-08-07T06:38:07Z</dcterms:created>
  <dcterms:modified xsi:type="dcterms:W3CDTF">2024-05-16T12:32:49Z</dcterms:modified>
  <cp:category/>
  <cp:version/>
  <cp:contentType/>
  <cp:contentStatus/>
</cp:coreProperties>
</file>