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3200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'2.pielikums'!$A$5:$S$8</definedName>
    <definedName name="Excel_BuiltIn_Print_Titles_1">#REF!</definedName>
    <definedName name="_xlnm.Print_Area" localSheetId="0">'2.pielikums'!$A$1:$O$132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<sst xmlns="http://schemas.openxmlformats.org/spreadsheetml/2006/main" count="537" uniqueCount="365">
  <si>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</si>
  <si>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</si>
  <si>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</si>
  <si>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</si>
  <si>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</si>
  <si>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</si>
  <si>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</si>
  <si>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</si>
  <si>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</si>
  <si>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</si>
  <si>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</si>
  <si>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</si>
  <si>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</si>
  <si>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</si>
  <si>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</si>
  <si>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</si>
  <si>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</si>
  <si>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</si>
  <si>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</si>
  <si>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</si>
  <si>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</si>
  <si>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</si>
  <si>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</si>
  <si>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</si>
  <si>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</si>
  <si>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</si>
  <si>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</si>
  <si>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</si>
  <si>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</si>
  <si>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</si>
  <si>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</si>
  <si>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</si>
  <si>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</si>
  <si>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</si>
  <si>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</si>
  <si>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</si>
  <si>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</si>
  <si>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</si>
  <si>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</si>
  <si>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</si>
  <si>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</si>
  <si>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</si>
  <si>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</si>
  <si>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</si>
  <si>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</si>
  <si>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</si>
  <si>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</si>
  <si>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</si>
  <si>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</si>
  <si>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</si>
  <si>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</si>
  <si>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</si>
  <si>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</si>
  <si>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</si>
  <si>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</si>
  <si>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</si>
  <si>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</si>
  <si>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</si>
  <si>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</si>
  <si>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</si>
  <si>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</si>
  <si>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</si>
  <si>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</si>
  <si>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</si>
  <si>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</si>
  <si>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</si>
  <si>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</si>
  <si>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</si>
  <si>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</si>
  <si>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</si>
  <si>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</si>
  <si>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</si>
  <si>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</si>
  <si>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</si>
  <si>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</si>
  <si>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</si>
  <si>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</si>
  <si>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</si>
  <si>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</si>
  <si>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</si>
  <si>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</si>
  <si>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</si>
  <si>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</si>
  <si>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</si>
  <si>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</si>
  <si>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</si>
  <si>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</si>
  <si>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</si>
  <si>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</si>
  <si>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</si>
  <si>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</si>
  <si>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</si>
  <si>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</si>
  <si>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</si>
  <si>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</si>
  <si>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</si>
  <si>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</si>
  <si>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</si>
  <si>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</si>
  <si>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</si>
  <si>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</si>
  <si>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</si>
  <si>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</si>
  <si>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20.06.2023</t>
  </si>
  <si>
    <t>22.08.2012</t>
  </si>
  <si>
    <t>20.12.2029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</si>
  <si>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</si>
  <si>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</si>
  <si>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</si>
  <si>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</si>
  <si>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</si>
  <si>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</si>
  <si>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</si>
  <si>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</si>
  <si>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</si>
  <si>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</si>
  <si>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13.11.2018</t>
  </si>
  <si>
    <t>20.10.2038</t>
  </si>
  <si>
    <t>20.02.2028</t>
  </si>
  <si>
    <t>11.02.2019</t>
  </si>
  <si>
    <t>20.01.2039</t>
  </si>
  <si>
    <t>30.08.2018</t>
  </si>
  <si>
    <t>20.03.2039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</si>
  <si>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</si>
  <si>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</si>
  <si>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</si>
  <si>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</si>
  <si>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</si>
  <si>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03.07.2018</t>
  </si>
  <si>
    <t>20.06.2038</t>
  </si>
  <si>
    <t>25.09.2014</t>
  </si>
  <si>
    <t>20.09.2039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</si>
  <si>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</si>
  <si>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</si>
  <si>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</si>
  <si>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</si>
  <si>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</si>
  <si>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</si>
  <si>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14.06.2006</t>
  </si>
  <si>
    <t>20.12.2025</t>
  </si>
  <si>
    <t>22.11.2013</t>
  </si>
  <si>
    <t>20.11.2033</t>
  </si>
  <si>
    <t>19.03.2014</t>
  </si>
  <si>
    <t>20.03.2024</t>
  </si>
  <si>
    <t>19.06.2015</t>
  </si>
  <si>
    <t>20.06.2025</t>
  </si>
  <si>
    <t>24.09.2012</t>
  </si>
  <si>
    <t>20.09.2037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</si>
  <si>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</si>
  <si>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</si>
  <si>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</si>
  <si>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</si>
  <si>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</si>
  <si>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</si>
  <si>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</si>
  <si>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</si>
  <si>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</si>
  <si>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</si>
  <si>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</si>
  <si>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</si>
  <si>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</si>
  <si>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</si>
  <si>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</si>
  <si>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</si>
  <si>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</si>
  <si>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</si>
  <si>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</si>
  <si>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</si>
  <si>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</si>
  <si>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</si>
  <si>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</si>
  <si>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</si>
  <si>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</si>
  <si>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</si>
  <si>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</si>
  <si>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</si>
  <si>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>Pašvaldības autonomo funkciju veikšanai nepieciešamā transporta (autobusa) iegādei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</si>
  <si>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</si>
  <si>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</si>
  <si>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</si>
  <si>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</si>
  <si>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</si>
  <si>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</si>
  <si>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</si>
  <si>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</si>
  <si>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</si>
  <si>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</si>
  <si>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</si>
  <si>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</si>
  <si>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</si>
  <si>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</si>
  <si>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</si>
  <si>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</si>
  <si>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</si>
  <si>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</si>
  <si>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</si>
  <si>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</si>
  <si>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</si>
  <si>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</si>
  <si>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</si>
  <si>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</si>
  <si>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</si>
  <si>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</si>
  <si>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</si>
  <si>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</si>
  <si>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</si>
  <si>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</si>
  <si>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</si>
  <si>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</si>
  <si>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</si>
  <si>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24.11.2016</t>
  </si>
  <si>
    <t>20.11.2023</t>
  </si>
  <si>
    <t>Pašvaldības autonomo funkciju veikšanai nepieciešamā transporta iegāde</t>
  </si>
  <si>
    <t>26.02.2016</t>
  </si>
  <si>
    <t>20.02.2023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</si>
  <si>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</si>
  <si>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</si>
  <si>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</si>
  <si>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</si>
  <si>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</si>
  <si>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</si>
  <si>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</si>
  <si>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</si>
  <si>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</si>
  <si>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</si>
  <si>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</si>
  <si>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</si>
  <si>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</si>
  <si>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</si>
  <si>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</si>
  <si>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</si>
  <si>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</si>
  <si>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</si>
  <si>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</si>
  <si>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</si>
  <si>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</si>
  <si>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</si>
  <si>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</si>
  <si>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</si>
  <si>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</si>
  <si>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</si>
  <si>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</si>
  <si>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</si>
  <si>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</si>
  <si>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</si>
  <si>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</si>
  <si>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</si>
  <si>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</si>
  <si>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</si>
  <si>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</si>
  <si>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</si>
  <si>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</si>
  <si>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</si>
  <si>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</si>
  <si>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</si>
  <si>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</si>
  <si>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</si>
  <si>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</si>
  <si>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</si>
  <si>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</si>
  <si>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</si>
  <si>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</si>
  <si>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</si>
  <si>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</si>
  <si>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Projekta "Dārzu ielas pārbūve Viļānos"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</si>
  <si>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</si>
  <si>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</si>
  <si>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</si>
  <si>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</si>
  <si>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</si>
  <si>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</si>
  <si>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</si>
  <si>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</si>
  <si>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</si>
  <si>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</si>
  <si>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</si>
  <si>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</si>
  <si>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</si>
  <si>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</si>
  <si>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</si>
  <si>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</si>
  <si>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</si>
  <si>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</si>
  <si>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</si>
  <si>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</si>
  <si>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</si>
  <si>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</si>
  <si>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</si>
  <si>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</si>
  <si>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08.07.2021</t>
  </si>
  <si>
    <t>Projekta Rēzeknes novada pašvaldības autoceļu infrastruktūras uzlabošana Maltas un Kaunatas pagastu apvienībās īstenošanai</t>
  </si>
  <si>
    <t>29.11.2021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</si>
  <si>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</si>
  <si>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</si>
  <si>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</si>
  <si>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</si>
  <si>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</si>
  <si>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</si>
  <si>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</si>
  <si>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</si>
  <si>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</si>
  <si>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</si>
  <si>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</si>
  <si>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</si>
  <si>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</si>
  <si>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</si>
  <si>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Rēzeknes novada pašvaldības 2023. gada saistību apmērs saimnieciskajā gadā un turpmākajos gados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</si>
  <si>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</si>
  <si>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</si>
  <si>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</si>
  <si>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</si>
  <si>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</si>
  <si>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</si>
  <si>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</si>
  <si>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</si>
  <si>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</si>
  <si>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</si>
  <si>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</si>
  <si>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</si>
  <si>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</si>
  <si>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89</t>
  </si>
  <si>
    <t>90</t>
  </si>
  <si>
    <t>Rēznas pamatskolas ēkas energoefektivitātes paaugstināšana</t>
  </si>
  <si>
    <t>20.05.2043</t>
  </si>
  <si>
    <t>20.07.2043</t>
  </si>
  <si>
    <t>20.07.2033</t>
  </si>
  <si>
    <t>20.05.2023</t>
  </si>
  <si>
    <t>2023. gada 19. oktobra saistošajiem noteikumiem Nr. 13</t>
  </si>
  <si>
    <t>2. pielikums</t>
  </si>
  <si>
    <t>Latvijas - Krievijas projekta (Nr.LV-RU-029) Latvijas un Krievijas pārrobežu tūrisma maršruti Sekojot inženiertehniskajām idejām izveide</t>
  </si>
  <si>
    <t>ELFLA projekta Nr.19-01-AL15-A019.2201-000013 "Piedzīvojumu velotrases ierīkošana aktīvā laukuma atpūtai "ALA" teritorijā" īstenošanai</t>
  </si>
  <si>
    <t>ELFLA projekta "Dricānu vidusskolas sporta zāles celtniecība" īstenošanai</t>
  </si>
  <si>
    <t>ERAF projekta "Ūdenssaimniecības attīstība Rēzeknes novada Stoļerovas pagasta Stoļerovas ciema" īstenošanai.</t>
  </si>
  <si>
    <t>ERAF projekts "Ūdenssaimniecības attīstība Rēzeknes novada Kaunatas ciemā"</t>
  </si>
  <si>
    <t>KPFI projekta Nr.KPFI-7/7 "Oglekļa dioksīda emisiju samazināšana Rēzeknes novada pašvaldības izglītības iestāžu ēkās" Kaunatas pagastā īstenošanai.</t>
  </si>
  <si>
    <t>ELFLA projekta (Nr.11-01-L32100-000259) "Stoļerovas pagasta saieta nama izveide" īstenošanai</t>
  </si>
  <si>
    <t>ELFLA projekta (Nr.17-01-A00702-000052)  "Pašvaldības ceļu infrastruktūras uzlabošana Rēzeknes novadā, 1. kārta" īstenošanai</t>
  </si>
  <si>
    <t>ELFLA projekta ( Nr.18-01-A00702-000006) ,, Pašvaldības ceļu infrastruktūras uzlabošana Rēzeknes novadā, 3. kārta" īstenošanai</t>
  </si>
  <si>
    <t>ELFLA projekta ( Nr.18-01-A00702-000013) ,, Pašvaldības ceļu infrastruktūras uzlabošana Rēzeknes novadā, 4.kārta" īstenošanai</t>
  </si>
  <si>
    <t>ELFLA projekts "Lendžu ciema Kalnezeru skolas sporta zāles rekonstrukcija"</t>
  </si>
  <si>
    <t>ERAF projekta (Nr.3DP/3.4.1.1.0/13APIA/CFLA/006/083) "Ūdenssaimniecības attīstība Rēzeknes novada Silmalas pagasta Štikānu ciemā" īstenošana</t>
  </si>
  <si>
    <t>ERAF projekta ( Nr.5.6.2.0/16/I/018) "Industriālo teritoriju tīklojuma izveide uzņēmējdarbības veicināšanai Rēzeknes pilsētas, Rēzeknes un Viļānu novados" īstenošanai</t>
  </si>
  <si>
    <t>ERAF projekta "Rēzeknes novada pašvaldības vidusskolu infrastruktūras attīstība" īstenošanai</t>
  </si>
  <si>
    <t>ERAF projekta "Ūdenssaimniecības attīstība Rēzeknes novada Bērzgales pagasta Bērzgales ciemā" īstenošanai</t>
  </si>
  <si>
    <t>ERAF projekts "Ūdenssaimniecības attīstība Audriņu pagasta Audriņu ciemā"</t>
  </si>
  <si>
    <t>EZF projekts "Brīvdabas estrādes kompleksa būvniecība Lendžu pagasta Lendžu ciemā"</t>
  </si>
  <si>
    <t>EZF projekts "Mākoņkalna pagasta brīvā laika pavadīšanas centra izveide"</t>
  </si>
  <si>
    <t>EZF projekts "Viraudas ezera teritorijas labiekārtošana izbūvējot laivu piestātni ar piebraukšanas laukumu Lendžu ciemā"</t>
  </si>
  <si>
    <t>KPFI projekta (Nr.KPFI-10/79) "Tiskādu vidusskolas rekonstrukcija, kas atbilst zema enerģijas patēriņa ēkas prasībām" īstenošanai</t>
  </si>
  <si>
    <t>KPFI projekta (Nr.KPFI-15.4/59) Kompleksi risinājumi siltumnīcefekta gāzu emisiju samazināšanai Maltas vidusskolā īstenošanai</t>
  </si>
  <si>
    <t>RAF projekts "Ūdenssaimniecības attīstība Rēzeknes novada Lendžu pagasta Lendžu ciemā"</t>
  </si>
  <si>
    <t>Projekta "Nautrēnu pagasta PII "Vālodzīte "siltināšanas darbi" īstenošanai</t>
  </si>
  <si>
    <t>Izglītības iestādes investīciju projekta "Sporta laukuma izbūves 1.kārtas būvprojekta realizācija Kaunatas pagastā (Kaunatas vidusskolā) īstenošanai</t>
  </si>
  <si>
    <t>Projekta "Rēzeknes novada pašvaldības autoceļu infrastruktūras uzlabošana Maltas un Kaunatas pagastu apvienībās" īstenošanai</t>
  </si>
  <si>
    <t>KPFI projekta Nr.KPFI-15.3/68 "Kompleksi risinājumi siltumnīcefekta gāzu emisiju samazināšanai Verēmu pamatskolā" īstenošanai</t>
  </si>
  <si>
    <t>ERAF projekta ( Nr.9.3.1.1/19/I/047) "Sabiedrībā balstītu sociālo pakalpojumu infrastruktūras izveide un attīstība Rēzeknes novadā" īstenošanai</t>
  </si>
  <si>
    <t>ELFLA projekta ( Nr.19-01-A00702-000067) "Pašvaldības ceļu infrastruktūras uzlabošana Rēzeknes novadā, 5. kārta" īstenošanai</t>
  </si>
  <si>
    <t>SIA "Viļānu namsaimnieks" pamatkapitāla palielināšanai Kohēzijas fonda projekta "Ūdenssaimniecības attīstība Viļānu pašvaldībā, 3. kārta"</t>
  </si>
  <si>
    <t>Igaunijas-Latvijas-Krievijas pārrobežu sadarbības programmas projekta (Nr.ELRI-109) "Transporta un loģistikas attīstības iespēju paaugstināšana Latvijas-Igaunijas-Krievijas starptautiskas nozīmes stratēģiskajos transporta koridoros" īstenošanai</t>
  </si>
  <si>
    <t>Projekta "Tranzītielas rekonstrukcija Viļānu pilsētas teritorijā valsts 1.šķiras autoceļa maršrutā Viļāni-Preiļi-Špoģi (P58) posmā Rīgas iela, Kultūras laukums, Brīvības iela (2.kārta)" īstenošana</t>
  </si>
  <si>
    <t>Modernas, energoefektīvas sporta halles būvniecība Viļānos</t>
  </si>
  <si>
    <t>ERAF projekts (Nr.4.2.2.0/21/A/033) "Viļānu Mūzikas un mākslas skolas jaunās ēkas energoefektivitātes paaugstināšana"</t>
  </si>
  <si>
    <t>ERAF projekts (Nr.4.2.2.0/21/A/030) "Maltas Bērnu un jauniešu centra ēkas energoefektivitātes paaugstināšana"</t>
  </si>
  <si>
    <t>Projekts "Sadzives atkritumu apsaimniekošana Austrumlatgales regiona"</t>
  </si>
  <si>
    <t>Kohēzijas fonda projekta Nr.5.3.1.0/17/I/029 "Ūdenssaimniecības attīstība Maltā III kārta" īstenošanai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</si>
</sst>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\.0"/>
    <numFmt numFmtId="179" formatCode="_-&quot;Ls &quot;* #,##0.00_-;&quot;-Ls &quot;* #,##0.00_-;_-&quot;Ls &quot;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6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78" fontId="2" fillId="46" borderId="0" applyBorder="0" applyProtection="0">
      <alignment/>
    </xf>
    <xf numFmtId="178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3" fontId="5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0" xfId="241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1" xfId="241" applyNumberFormat="1" applyFont="1" applyBorder="1" applyAlignment="1">
      <alignment horizontal="center" wrapText="1"/>
      <protection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241" applyNumberFormat="1" applyFont="1" applyBorder="1" applyAlignment="1" applyProtection="1">
      <alignment horizontal="right" vertical="center"/>
      <protection locked="0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3" fontId="5" fillId="0" borderId="20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49" fontId="5" fillId="0" borderId="20" xfId="241" applyNumberFormat="1" applyFont="1" applyBorder="1" applyAlignment="1" applyProtection="1">
      <alignment horizontal="left" vertical="center" wrapText="1"/>
      <protection locked="0"/>
    </xf>
    <xf numFmtId="49" fontId="5" fillId="0" borderId="20" xfId="241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3" fontId="6" fillId="0" borderId="22" xfId="241" applyNumberFormat="1" applyFont="1" applyBorder="1" applyAlignment="1">
      <alignment horizontal="right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4" xfId="241" applyNumberFormat="1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241" applyNumberFormat="1" applyFont="1" applyBorder="1" applyAlignment="1" applyProtection="1">
      <alignment horizontal="right" vertical="center"/>
      <protection locked="0"/>
    </xf>
    <xf numFmtId="3" fontId="6" fillId="0" borderId="25" xfId="241" applyNumberFormat="1" applyFont="1" applyBorder="1" applyAlignment="1">
      <alignment horizontal="right" vertical="center" wrapText="1"/>
      <protection/>
    </xf>
    <xf numFmtId="3" fontId="5" fillId="0" borderId="20" xfId="242" applyNumberFormat="1" applyFont="1" applyBorder="1" applyAlignment="1" applyProtection="1">
      <alignment horizontal="right" vertical="center"/>
      <protection locked="0"/>
    </xf>
    <xf numFmtId="3" fontId="6" fillId="0" borderId="20" xfId="242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1" sqref="Q1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  <col min="16" max="20" width="9.140625" style="10" customWidth="1"/>
  </cols>
  <sheetData>
    <row r="1" spans="1:15" s="108" customFormat="1" ht="15.75">
      <c r="A1" s="105"/>
      <c r="B1" s="106"/>
      <c r="C1" s="107" t="s">
        <v>328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108" customFormat="1" ht="15.75" customHeight="1">
      <c r="A2" s="105"/>
      <c r="B2" s="102" t="s">
        <v>24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2" customFormat="1" ht="24.75" customHeight="1">
      <c r="A3" s="1"/>
      <c r="B3" s="102" t="s">
        <v>327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2" customFormat="1" ht="46.5" customHeight="1">
      <c r="A4" s="31"/>
      <c r="B4" s="31"/>
      <c r="C4" s="103" t="s">
        <v>306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98" t="s">
        <v>10</v>
      </c>
      <c r="C6" s="98" t="s">
        <v>5</v>
      </c>
      <c r="D6" s="100" t="s">
        <v>6</v>
      </c>
      <c r="E6" s="98" t="s">
        <v>11</v>
      </c>
      <c r="F6" s="98" t="s">
        <v>20</v>
      </c>
      <c r="G6" s="98" t="s">
        <v>21</v>
      </c>
      <c r="H6" s="101" t="s">
        <v>12</v>
      </c>
      <c r="I6" s="101"/>
      <c r="J6" s="101"/>
      <c r="K6" s="101"/>
      <c r="L6" s="101"/>
      <c r="M6" s="101"/>
      <c r="N6" s="101"/>
      <c r="O6" s="101"/>
    </row>
    <row r="7" spans="1:15" s="15" customFormat="1" ht="45.75" customHeight="1">
      <c r="A7" s="14"/>
      <c r="B7" s="98"/>
      <c r="C7" s="98"/>
      <c r="D7" s="100"/>
      <c r="E7" s="98"/>
      <c r="F7" s="98"/>
      <c r="G7" s="98"/>
      <c r="H7" s="32">
        <v>2023</v>
      </c>
      <c r="I7" s="32">
        <v>2024</v>
      </c>
      <c r="J7" s="32">
        <v>2025</v>
      </c>
      <c r="K7" s="32">
        <v>2026</v>
      </c>
      <c r="L7" s="32">
        <v>2027</v>
      </c>
      <c r="M7" s="32">
        <v>2028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70" t="s">
        <v>25</v>
      </c>
      <c r="C11" s="48" t="s">
        <v>96</v>
      </c>
      <c r="D11" s="48" t="s">
        <v>331</v>
      </c>
      <c r="E11" s="42" t="s">
        <v>97</v>
      </c>
      <c r="F11" s="65" t="s">
        <v>98</v>
      </c>
      <c r="G11" s="64">
        <v>621688</v>
      </c>
      <c r="H11" s="95">
        <v>51300</v>
      </c>
      <c r="I11" s="95">
        <v>54781</v>
      </c>
      <c r="J11" s="95">
        <v>52691</v>
      </c>
      <c r="K11" s="95">
        <v>50624</v>
      </c>
      <c r="L11" s="95">
        <v>48552</v>
      </c>
      <c r="M11" s="81">
        <v>0</v>
      </c>
      <c r="N11" s="81">
        <v>0</v>
      </c>
      <c r="O11" s="58">
        <f aca="true" t="shared" si="0" ref="O11:O17">SUM(H11:N11)</f>
        <v>257948</v>
      </c>
    </row>
    <row r="12" spans="1:15" s="17" customFormat="1" ht="38.25">
      <c r="A12" s="16"/>
      <c r="B12" s="70" t="s">
        <v>26</v>
      </c>
      <c r="C12" s="48" t="s">
        <v>96</v>
      </c>
      <c r="D12" s="48" t="s">
        <v>99</v>
      </c>
      <c r="E12" s="42" t="s">
        <v>100</v>
      </c>
      <c r="F12" s="65" t="s">
        <v>101</v>
      </c>
      <c r="G12" s="64">
        <v>106326</v>
      </c>
      <c r="H12" s="95">
        <v>2543</v>
      </c>
      <c r="I12" s="95">
        <v>2860</v>
      </c>
      <c r="J12" s="95">
        <v>2793</v>
      </c>
      <c r="K12" s="95">
        <v>2666</v>
      </c>
      <c r="L12" s="95">
        <v>2568</v>
      </c>
      <c r="M12" s="95">
        <v>2471</v>
      </c>
      <c r="N12" s="81">
        <f>2374+1726</f>
        <v>4100</v>
      </c>
      <c r="O12" s="58">
        <f t="shared" si="0"/>
        <v>20001</v>
      </c>
    </row>
    <row r="13" spans="1:15" s="17" customFormat="1" ht="38.25">
      <c r="A13" s="16"/>
      <c r="B13" s="70" t="s">
        <v>27</v>
      </c>
      <c r="C13" s="48" t="s">
        <v>96</v>
      </c>
      <c r="D13" s="48" t="s">
        <v>332</v>
      </c>
      <c r="E13" s="42" t="s">
        <v>102</v>
      </c>
      <c r="F13" s="65" t="s">
        <v>103</v>
      </c>
      <c r="G13" s="64">
        <v>273641</v>
      </c>
      <c r="H13" s="95">
        <v>7705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58">
        <f t="shared" si="0"/>
        <v>7705</v>
      </c>
    </row>
    <row r="14" spans="1:15" s="17" customFormat="1" ht="25.5">
      <c r="A14" s="16"/>
      <c r="B14" s="70" t="s">
        <v>28</v>
      </c>
      <c r="C14" s="48" t="s">
        <v>96</v>
      </c>
      <c r="D14" s="48" t="s">
        <v>333</v>
      </c>
      <c r="E14" s="42" t="s">
        <v>104</v>
      </c>
      <c r="F14" s="65" t="s">
        <v>105</v>
      </c>
      <c r="G14" s="64">
        <v>338375</v>
      </c>
      <c r="H14" s="95">
        <v>8543</v>
      </c>
      <c r="I14" s="95">
        <v>9562</v>
      </c>
      <c r="J14" s="95">
        <v>9221</v>
      </c>
      <c r="K14" s="95">
        <v>8885</v>
      </c>
      <c r="L14" s="95">
        <v>8549</v>
      </c>
      <c r="M14" s="95">
        <v>8214</v>
      </c>
      <c r="N14" s="95">
        <v>7876</v>
      </c>
      <c r="O14" s="58">
        <f t="shared" si="0"/>
        <v>60850</v>
      </c>
    </row>
    <row r="15" spans="1:15" s="17" customFormat="1" ht="51">
      <c r="A15" s="16"/>
      <c r="B15" s="70" t="s">
        <v>29</v>
      </c>
      <c r="C15" s="48" t="s">
        <v>96</v>
      </c>
      <c r="D15" s="48" t="s">
        <v>334</v>
      </c>
      <c r="E15" s="42" t="s">
        <v>97</v>
      </c>
      <c r="F15" s="65" t="s">
        <v>106</v>
      </c>
      <c r="G15" s="64">
        <v>219169</v>
      </c>
      <c r="H15" s="95">
        <v>11353</v>
      </c>
      <c r="I15" s="95">
        <v>11144</v>
      </c>
      <c r="J15" s="95">
        <v>10948</v>
      </c>
      <c r="K15" s="95">
        <v>5426</v>
      </c>
      <c r="L15" s="81">
        <v>0</v>
      </c>
      <c r="M15" s="81">
        <v>0</v>
      </c>
      <c r="N15" s="81">
        <v>0</v>
      </c>
      <c r="O15" s="58">
        <f t="shared" si="0"/>
        <v>38871</v>
      </c>
    </row>
    <row r="16" spans="1:15" s="17" customFormat="1" ht="25.5">
      <c r="A16" s="16"/>
      <c r="B16" s="70" t="s">
        <v>30</v>
      </c>
      <c r="C16" s="48" t="s">
        <v>96</v>
      </c>
      <c r="D16" s="48" t="s">
        <v>107</v>
      </c>
      <c r="E16" s="42" t="s">
        <v>108</v>
      </c>
      <c r="F16" s="65" t="s">
        <v>109</v>
      </c>
      <c r="G16" s="64">
        <v>111569</v>
      </c>
      <c r="H16" s="95">
        <v>3897</v>
      </c>
      <c r="I16" s="95">
        <v>4537</v>
      </c>
      <c r="J16" s="95">
        <v>4406</v>
      </c>
      <c r="K16" s="95">
        <v>4276</v>
      </c>
      <c r="L16" s="95">
        <v>4145</v>
      </c>
      <c r="M16" s="95">
        <v>4014</v>
      </c>
      <c r="N16" s="81">
        <f>3882+14220</f>
        <v>18102</v>
      </c>
      <c r="O16" s="58">
        <f t="shared" si="0"/>
        <v>43377</v>
      </c>
    </row>
    <row r="17" spans="1:15" s="17" customFormat="1" ht="25.5">
      <c r="A17" s="16"/>
      <c r="B17" s="70" t="s">
        <v>31</v>
      </c>
      <c r="C17" s="48" t="s">
        <v>96</v>
      </c>
      <c r="D17" s="48" t="s">
        <v>110</v>
      </c>
      <c r="E17" s="42" t="s">
        <v>108</v>
      </c>
      <c r="F17" s="65" t="s">
        <v>109</v>
      </c>
      <c r="G17" s="64">
        <v>135823</v>
      </c>
      <c r="H17" s="95">
        <v>2757</v>
      </c>
      <c r="I17" s="95">
        <v>3210</v>
      </c>
      <c r="J17" s="95">
        <v>3118</v>
      </c>
      <c r="K17" s="95">
        <v>3025</v>
      </c>
      <c r="L17" s="95">
        <v>2932</v>
      </c>
      <c r="M17" s="95">
        <v>2840</v>
      </c>
      <c r="N17" s="81">
        <f>2747+10062</f>
        <v>12809</v>
      </c>
      <c r="O17" s="58">
        <f t="shared" si="0"/>
        <v>30691</v>
      </c>
    </row>
    <row r="18" spans="1:15" s="17" customFormat="1" ht="38.25">
      <c r="A18" s="16"/>
      <c r="B18" s="70" t="s">
        <v>32</v>
      </c>
      <c r="C18" s="48" t="s">
        <v>96</v>
      </c>
      <c r="D18" s="48" t="s">
        <v>335</v>
      </c>
      <c r="E18" s="42" t="s">
        <v>111</v>
      </c>
      <c r="F18" s="65" t="s">
        <v>112</v>
      </c>
      <c r="G18" s="64">
        <v>330545</v>
      </c>
      <c r="H18" s="95">
        <v>9934</v>
      </c>
      <c r="I18" s="95">
        <v>9722</v>
      </c>
      <c r="J18" s="95">
        <v>9583</v>
      </c>
      <c r="K18" s="95">
        <v>9445</v>
      </c>
      <c r="L18" s="95">
        <v>9307</v>
      </c>
      <c r="M18" s="95">
        <v>9169</v>
      </c>
      <c r="N18" s="81">
        <f>52111</f>
        <v>52111</v>
      </c>
      <c r="O18" s="58">
        <f aca="true" t="shared" si="1" ref="O18:O74">SUM(H18:N18)</f>
        <v>109271</v>
      </c>
    </row>
    <row r="19" spans="1:15" s="17" customFormat="1" ht="38.25">
      <c r="A19" s="16"/>
      <c r="B19" s="70" t="s">
        <v>33</v>
      </c>
      <c r="C19" s="48" t="s">
        <v>96</v>
      </c>
      <c r="D19" s="48" t="s">
        <v>113</v>
      </c>
      <c r="E19" s="42" t="s">
        <v>114</v>
      </c>
      <c r="F19" s="65" t="s">
        <v>115</v>
      </c>
      <c r="G19" s="64">
        <v>56741</v>
      </c>
      <c r="H19" s="95">
        <v>1209</v>
      </c>
      <c r="I19" s="95">
        <v>1585</v>
      </c>
      <c r="J19" s="95">
        <v>1544</v>
      </c>
      <c r="K19" s="95">
        <v>1506</v>
      </c>
      <c r="L19" s="95">
        <v>1467</v>
      </c>
      <c r="M19" s="95">
        <v>1431</v>
      </c>
      <c r="N19" s="81">
        <f>1391+14368</f>
        <v>15759</v>
      </c>
      <c r="O19" s="58">
        <f t="shared" si="1"/>
        <v>24501</v>
      </c>
    </row>
    <row r="20" spans="1:15" s="17" customFormat="1" ht="38.25">
      <c r="A20" s="16"/>
      <c r="B20" s="70" t="s">
        <v>34</v>
      </c>
      <c r="C20" s="48" t="s">
        <v>96</v>
      </c>
      <c r="D20" s="48" t="s">
        <v>336</v>
      </c>
      <c r="E20" s="42" t="s">
        <v>116</v>
      </c>
      <c r="F20" s="65" t="s">
        <v>117</v>
      </c>
      <c r="G20" s="64">
        <v>855597</v>
      </c>
      <c r="H20" s="95">
        <v>8539</v>
      </c>
      <c r="I20" s="95">
        <v>8568</v>
      </c>
      <c r="J20" s="95">
        <v>8381</v>
      </c>
      <c r="K20" s="95">
        <v>8194</v>
      </c>
      <c r="L20" s="95">
        <v>8006</v>
      </c>
      <c r="M20" s="95">
        <v>7818</v>
      </c>
      <c r="N20" s="81">
        <f>7631+60241</f>
        <v>67872</v>
      </c>
      <c r="O20" s="58">
        <f>SUM(H20:N20)</f>
        <v>117378</v>
      </c>
    </row>
    <row r="21" spans="1:15" s="17" customFormat="1" ht="38.25">
      <c r="A21" s="16"/>
      <c r="B21" s="70" t="s">
        <v>36</v>
      </c>
      <c r="C21" s="48" t="s">
        <v>96</v>
      </c>
      <c r="D21" s="48" t="s">
        <v>337</v>
      </c>
      <c r="E21" s="42" t="s">
        <v>119</v>
      </c>
      <c r="F21" s="65" t="s">
        <v>120</v>
      </c>
      <c r="G21" s="64">
        <v>1033292</v>
      </c>
      <c r="H21" s="95">
        <v>26323</v>
      </c>
      <c r="I21" s="95">
        <v>27848</v>
      </c>
      <c r="J21" s="95">
        <v>27048</v>
      </c>
      <c r="K21" s="95">
        <v>26267</v>
      </c>
      <c r="L21" s="95">
        <v>25481</v>
      </c>
      <c r="M21" s="95">
        <v>24696</v>
      </c>
      <c r="N21" s="81">
        <f>23905+45012</f>
        <v>68917</v>
      </c>
      <c r="O21" s="58">
        <f t="shared" si="1"/>
        <v>226580</v>
      </c>
    </row>
    <row r="22" spans="1:15" s="17" customFormat="1" ht="38.25">
      <c r="A22" s="16"/>
      <c r="B22" s="70" t="s">
        <v>37</v>
      </c>
      <c r="C22" s="48" t="s">
        <v>96</v>
      </c>
      <c r="D22" s="48" t="s">
        <v>338</v>
      </c>
      <c r="E22" s="42" t="s">
        <v>121</v>
      </c>
      <c r="F22" s="65" t="s">
        <v>122</v>
      </c>
      <c r="G22" s="64">
        <v>1125814</v>
      </c>
      <c r="H22" s="95">
        <v>13134</v>
      </c>
      <c r="I22" s="95">
        <v>12962</v>
      </c>
      <c r="J22" s="95">
        <v>12775</v>
      </c>
      <c r="K22" s="95">
        <v>12596</v>
      </c>
      <c r="L22" s="95">
        <v>12416</v>
      </c>
      <c r="M22" s="95">
        <v>12241</v>
      </c>
      <c r="N22" s="81">
        <f>12055+103006</f>
        <v>115061</v>
      </c>
      <c r="O22" s="58">
        <f t="shared" si="1"/>
        <v>191185</v>
      </c>
    </row>
    <row r="23" spans="1:15" s="17" customFormat="1" ht="25.5">
      <c r="A23" s="16"/>
      <c r="B23" s="70" t="s">
        <v>38</v>
      </c>
      <c r="C23" s="48" t="s">
        <v>96</v>
      </c>
      <c r="D23" s="48" t="s">
        <v>339</v>
      </c>
      <c r="E23" s="42" t="s">
        <v>123</v>
      </c>
      <c r="F23" s="65" t="s">
        <v>124</v>
      </c>
      <c r="G23" s="64">
        <v>170033</v>
      </c>
      <c r="H23" s="95">
        <v>5433</v>
      </c>
      <c r="I23" s="95">
        <v>5285</v>
      </c>
      <c r="J23" s="95">
        <v>5185</v>
      </c>
      <c r="K23" s="95">
        <v>5086</v>
      </c>
      <c r="L23" s="95">
        <v>4986</v>
      </c>
      <c r="M23" s="95">
        <v>4887</v>
      </c>
      <c r="N23" s="95">
        <v>3629</v>
      </c>
      <c r="O23" s="58">
        <f t="shared" si="1"/>
        <v>34491</v>
      </c>
    </row>
    <row r="24" spans="1:15" s="17" customFormat="1" ht="63.75">
      <c r="A24" s="16"/>
      <c r="B24" s="70" t="s">
        <v>301</v>
      </c>
      <c r="C24" s="48" t="s">
        <v>96</v>
      </c>
      <c r="D24" s="48" t="s">
        <v>125</v>
      </c>
      <c r="E24" s="42" t="s">
        <v>126</v>
      </c>
      <c r="F24" s="65" t="s">
        <v>127</v>
      </c>
      <c r="G24" s="64">
        <v>92000</v>
      </c>
      <c r="H24" s="95">
        <v>2750</v>
      </c>
      <c r="I24" s="95">
        <v>2534</v>
      </c>
      <c r="J24" s="95">
        <v>2502</v>
      </c>
      <c r="K24" s="95">
        <v>2471</v>
      </c>
      <c r="L24" s="95">
        <v>2440</v>
      </c>
      <c r="M24" s="95">
        <v>2408</v>
      </c>
      <c r="N24" s="81">
        <f>2376+20196</f>
        <v>22572</v>
      </c>
      <c r="O24" s="58">
        <f t="shared" si="1"/>
        <v>37677</v>
      </c>
    </row>
    <row r="25" spans="1:15" s="17" customFormat="1" ht="51">
      <c r="A25" s="16"/>
      <c r="B25" s="70" t="s">
        <v>39</v>
      </c>
      <c r="C25" s="48" t="s">
        <v>96</v>
      </c>
      <c r="D25" s="48" t="s">
        <v>340</v>
      </c>
      <c r="E25" s="42" t="s">
        <v>126</v>
      </c>
      <c r="F25" s="65" t="s">
        <v>127</v>
      </c>
      <c r="G25" s="64">
        <v>81000</v>
      </c>
      <c r="H25" s="95">
        <v>2836</v>
      </c>
      <c r="I25" s="95">
        <v>2613</v>
      </c>
      <c r="J25" s="95">
        <v>2581</v>
      </c>
      <c r="K25" s="95">
        <v>2549</v>
      </c>
      <c r="L25" s="95">
        <v>2516</v>
      </c>
      <c r="M25" s="95">
        <v>2484</v>
      </c>
      <c r="N25" s="81">
        <f>2452+20829</f>
        <v>23281</v>
      </c>
      <c r="O25" s="58">
        <f t="shared" si="1"/>
        <v>38860</v>
      </c>
    </row>
    <row r="26" spans="1:15" s="17" customFormat="1" ht="51">
      <c r="A26" s="16"/>
      <c r="B26" s="70" t="s">
        <v>40</v>
      </c>
      <c r="C26" s="48" t="s">
        <v>96</v>
      </c>
      <c r="D26" s="48" t="s">
        <v>341</v>
      </c>
      <c r="E26" s="42" t="s">
        <v>128</v>
      </c>
      <c r="F26" s="65" t="s">
        <v>129</v>
      </c>
      <c r="G26" s="64">
        <v>873797</v>
      </c>
      <c r="H26" s="95">
        <v>55760</v>
      </c>
      <c r="I26" s="95">
        <v>61975</v>
      </c>
      <c r="J26" s="95">
        <v>59910</v>
      </c>
      <c r="K26" s="95">
        <v>57890</v>
      </c>
      <c r="L26" s="95">
        <v>55860</v>
      </c>
      <c r="M26" s="95">
        <v>53837</v>
      </c>
      <c r="N26" s="81">
        <f>51798+69440</f>
        <v>121238</v>
      </c>
      <c r="O26" s="58">
        <f t="shared" si="1"/>
        <v>466470</v>
      </c>
    </row>
    <row r="27" spans="1:15" s="17" customFormat="1" ht="25.5">
      <c r="A27" s="16"/>
      <c r="B27" s="70" t="s">
        <v>41</v>
      </c>
      <c r="C27" s="48" t="s">
        <v>96</v>
      </c>
      <c r="D27" s="48" t="s">
        <v>342</v>
      </c>
      <c r="E27" s="42" t="s">
        <v>130</v>
      </c>
      <c r="F27" s="65" t="s">
        <v>131</v>
      </c>
      <c r="G27" s="64">
        <v>5869032</v>
      </c>
      <c r="H27" s="95">
        <v>363030</v>
      </c>
      <c r="I27" s="95">
        <v>426812</v>
      </c>
      <c r="J27" s="95">
        <v>415015</v>
      </c>
      <c r="K27" s="95">
        <v>403714</v>
      </c>
      <c r="L27" s="95">
        <v>392382</v>
      </c>
      <c r="M27" s="95">
        <v>381392</v>
      </c>
      <c r="N27" s="81">
        <f>369704+3012069</f>
        <v>3381773</v>
      </c>
      <c r="O27" s="58">
        <f t="shared" si="1"/>
        <v>5764118</v>
      </c>
    </row>
    <row r="28" spans="1:15" s="17" customFormat="1" ht="38.25">
      <c r="A28" s="16"/>
      <c r="B28" s="70" t="s">
        <v>42</v>
      </c>
      <c r="C28" s="48" t="s">
        <v>96</v>
      </c>
      <c r="D28" s="48" t="s">
        <v>343</v>
      </c>
      <c r="E28" s="42" t="s">
        <v>102</v>
      </c>
      <c r="F28" s="65" t="s">
        <v>132</v>
      </c>
      <c r="G28" s="64">
        <v>166095</v>
      </c>
      <c r="H28" s="95">
        <v>13072</v>
      </c>
      <c r="I28" s="95">
        <v>13909</v>
      </c>
      <c r="J28" s="95">
        <v>13409</v>
      </c>
      <c r="K28" s="95">
        <v>12908</v>
      </c>
      <c r="L28" s="95">
        <v>12407</v>
      </c>
      <c r="M28" s="95">
        <v>6079</v>
      </c>
      <c r="N28" s="81">
        <v>0</v>
      </c>
      <c r="O28" s="58">
        <f t="shared" si="1"/>
        <v>71784</v>
      </c>
    </row>
    <row r="29" spans="1:15" s="17" customFormat="1" ht="38.25">
      <c r="A29" s="16"/>
      <c r="B29" s="70" t="s">
        <v>43</v>
      </c>
      <c r="C29" s="48" t="s">
        <v>96</v>
      </c>
      <c r="D29" s="48" t="s">
        <v>133</v>
      </c>
      <c r="E29" s="42" t="s">
        <v>111</v>
      </c>
      <c r="F29" s="65" t="s">
        <v>134</v>
      </c>
      <c r="G29" s="64">
        <v>82852</v>
      </c>
      <c r="H29" s="95">
        <v>6279</v>
      </c>
      <c r="I29" s="95">
        <v>7016</v>
      </c>
      <c r="J29" s="95">
        <v>6764</v>
      </c>
      <c r="K29" s="95">
        <v>6515</v>
      </c>
      <c r="L29" s="95">
        <v>6266</v>
      </c>
      <c r="M29" s="95">
        <v>6018</v>
      </c>
      <c r="N29" s="95">
        <v>4363</v>
      </c>
      <c r="O29" s="58">
        <f t="shared" si="1"/>
        <v>43221</v>
      </c>
    </row>
    <row r="30" spans="1:15" s="17" customFormat="1" ht="38.25">
      <c r="A30" s="16"/>
      <c r="B30" s="70" t="s">
        <v>44</v>
      </c>
      <c r="C30" s="48" t="s">
        <v>96</v>
      </c>
      <c r="D30" s="48" t="s">
        <v>135</v>
      </c>
      <c r="E30" s="42" t="s">
        <v>136</v>
      </c>
      <c r="F30" s="65" t="s">
        <v>137</v>
      </c>
      <c r="G30" s="64">
        <v>70650</v>
      </c>
      <c r="H30" s="95">
        <v>1021</v>
      </c>
      <c r="I30" s="95">
        <v>1191</v>
      </c>
      <c r="J30" s="95">
        <v>1157</v>
      </c>
      <c r="K30" s="95">
        <v>1123</v>
      </c>
      <c r="L30" s="95">
        <v>1088</v>
      </c>
      <c r="M30" s="95">
        <v>1054</v>
      </c>
      <c r="N30" s="81">
        <f>1020+4171</f>
        <v>5191</v>
      </c>
      <c r="O30" s="58">
        <f t="shared" si="1"/>
        <v>11825</v>
      </c>
    </row>
    <row r="31" spans="1:15" s="17" customFormat="1" ht="25.5">
      <c r="A31" s="16"/>
      <c r="B31" s="70" t="s">
        <v>45</v>
      </c>
      <c r="C31" s="48" t="s">
        <v>96</v>
      </c>
      <c r="D31" s="48" t="s">
        <v>344</v>
      </c>
      <c r="E31" s="42" t="s">
        <v>138</v>
      </c>
      <c r="F31" s="65" t="s">
        <v>139</v>
      </c>
      <c r="G31" s="64">
        <v>455319</v>
      </c>
      <c r="H31" s="95">
        <v>4253</v>
      </c>
      <c r="I31" s="95">
        <v>4162</v>
      </c>
      <c r="J31" s="95">
        <v>4018</v>
      </c>
      <c r="K31" s="81">
        <v>0</v>
      </c>
      <c r="L31" s="81">
        <v>0</v>
      </c>
      <c r="M31" s="81">
        <v>0</v>
      </c>
      <c r="N31" s="81">
        <v>0</v>
      </c>
      <c r="O31" s="58">
        <f t="shared" si="1"/>
        <v>12433</v>
      </c>
    </row>
    <row r="32" spans="1:15" s="17" customFormat="1" ht="25.5">
      <c r="A32" s="16"/>
      <c r="B32" s="70" t="s">
        <v>46</v>
      </c>
      <c r="C32" s="48" t="s">
        <v>96</v>
      </c>
      <c r="D32" s="48" t="s">
        <v>345</v>
      </c>
      <c r="E32" s="42" t="s">
        <v>140</v>
      </c>
      <c r="F32" s="65" t="s">
        <v>141</v>
      </c>
      <c r="G32" s="64">
        <v>151816</v>
      </c>
      <c r="H32" s="95">
        <v>8666</v>
      </c>
      <c r="I32" s="95">
        <v>8502</v>
      </c>
      <c r="J32" s="95">
        <v>8339</v>
      </c>
      <c r="K32" s="95">
        <v>8175</v>
      </c>
      <c r="L32" s="95">
        <v>8012</v>
      </c>
      <c r="M32" s="95">
        <v>7849</v>
      </c>
      <c r="N32" s="81">
        <f>7522+27757</f>
        <v>35279</v>
      </c>
      <c r="O32" s="58">
        <f t="shared" si="1"/>
        <v>84822</v>
      </c>
    </row>
    <row r="33" spans="1:15" s="17" customFormat="1" ht="25.5">
      <c r="A33" s="16"/>
      <c r="B33" s="70" t="s">
        <v>47</v>
      </c>
      <c r="C33" s="48" t="s">
        <v>96</v>
      </c>
      <c r="D33" s="48" t="s">
        <v>346</v>
      </c>
      <c r="E33" s="42" t="s">
        <v>142</v>
      </c>
      <c r="F33" s="65" t="s">
        <v>143</v>
      </c>
      <c r="G33" s="64">
        <v>97794</v>
      </c>
      <c r="H33" s="95">
        <v>8538</v>
      </c>
      <c r="I33" s="95">
        <v>2150</v>
      </c>
      <c r="J33" s="95">
        <v>0</v>
      </c>
      <c r="K33" s="81">
        <v>0</v>
      </c>
      <c r="L33" s="81">
        <v>0</v>
      </c>
      <c r="M33" s="81">
        <v>0</v>
      </c>
      <c r="N33" s="81">
        <v>0</v>
      </c>
      <c r="O33" s="58">
        <f t="shared" si="1"/>
        <v>10688</v>
      </c>
    </row>
    <row r="34" spans="1:15" s="17" customFormat="1" ht="38.25">
      <c r="A34" s="16"/>
      <c r="B34" s="70" t="s">
        <v>48</v>
      </c>
      <c r="C34" s="48" t="s">
        <v>96</v>
      </c>
      <c r="D34" s="48" t="s">
        <v>347</v>
      </c>
      <c r="E34" s="42" t="s">
        <v>144</v>
      </c>
      <c r="F34" s="65" t="s">
        <v>145</v>
      </c>
      <c r="G34" s="64">
        <v>19912</v>
      </c>
      <c r="H34" s="95">
        <v>989</v>
      </c>
      <c r="I34" s="95">
        <v>999</v>
      </c>
      <c r="J34" s="95">
        <v>490</v>
      </c>
      <c r="K34" s="81">
        <v>0</v>
      </c>
      <c r="L34" s="81">
        <v>0</v>
      </c>
      <c r="M34" s="81">
        <v>0</v>
      </c>
      <c r="N34" s="81">
        <v>0</v>
      </c>
      <c r="O34" s="58">
        <f t="shared" si="1"/>
        <v>2478</v>
      </c>
    </row>
    <row r="35" spans="1:15" s="17" customFormat="1" ht="38.25">
      <c r="A35" s="16"/>
      <c r="B35" s="70" t="s">
        <v>49</v>
      </c>
      <c r="C35" s="48" t="s">
        <v>96</v>
      </c>
      <c r="D35" s="48" t="s">
        <v>348</v>
      </c>
      <c r="E35" s="42" t="s">
        <v>146</v>
      </c>
      <c r="F35" s="65" t="s">
        <v>147</v>
      </c>
      <c r="G35" s="64">
        <v>207096</v>
      </c>
      <c r="H35" s="95">
        <v>11713</v>
      </c>
      <c r="I35" s="95">
        <v>13542</v>
      </c>
      <c r="J35" s="95">
        <v>13148</v>
      </c>
      <c r="K35" s="95">
        <v>12770</v>
      </c>
      <c r="L35" s="95">
        <v>12390</v>
      </c>
      <c r="M35" s="95">
        <v>12019</v>
      </c>
      <c r="N35" s="81">
        <f>11629+77175</f>
        <v>88804</v>
      </c>
      <c r="O35" s="58">
        <f t="shared" si="1"/>
        <v>164386</v>
      </c>
    </row>
    <row r="36" spans="1:15" s="17" customFormat="1" ht="38.25">
      <c r="A36" s="16"/>
      <c r="B36" s="70" t="s">
        <v>50</v>
      </c>
      <c r="C36" s="48" t="s">
        <v>96</v>
      </c>
      <c r="D36" s="48" t="s">
        <v>349</v>
      </c>
      <c r="E36" s="42" t="s">
        <v>148</v>
      </c>
      <c r="F36" s="65" t="s">
        <v>149</v>
      </c>
      <c r="G36" s="64">
        <v>243723</v>
      </c>
      <c r="H36" s="95">
        <v>12468</v>
      </c>
      <c r="I36" s="95">
        <v>12537</v>
      </c>
      <c r="J36" s="95">
        <v>3103</v>
      </c>
      <c r="K36" s="81">
        <v>0</v>
      </c>
      <c r="L36" s="81">
        <v>0</v>
      </c>
      <c r="M36" s="81">
        <v>0</v>
      </c>
      <c r="N36" s="81">
        <v>0</v>
      </c>
      <c r="O36" s="58">
        <f t="shared" si="1"/>
        <v>28108</v>
      </c>
    </row>
    <row r="37" spans="1:15" s="17" customFormat="1" ht="51">
      <c r="A37" s="16"/>
      <c r="B37" s="70" t="s">
        <v>302</v>
      </c>
      <c r="C37" s="48" t="s">
        <v>96</v>
      </c>
      <c r="D37" s="48" t="s">
        <v>150</v>
      </c>
      <c r="E37" s="42" t="s">
        <v>148</v>
      </c>
      <c r="F37" s="65" t="s">
        <v>149</v>
      </c>
      <c r="G37" s="64">
        <v>219572</v>
      </c>
      <c r="H37" s="95">
        <v>13540</v>
      </c>
      <c r="I37" s="95">
        <v>13615</v>
      </c>
      <c r="J37" s="95">
        <v>3370</v>
      </c>
      <c r="K37" s="81">
        <v>0</v>
      </c>
      <c r="L37" s="81">
        <v>0</v>
      </c>
      <c r="M37" s="81">
        <v>0</v>
      </c>
      <c r="N37" s="81">
        <v>0</v>
      </c>
      <c r="O37" s="58">
        <f t="shared" si="1"/>
        <v>30525</v>
      </c>
    </row>
    <row r="38" spans="1:15" s="17" customFormat="1" ht="38.25">
      <c r="A38" s="16"/>
      <c r="B38" s="70" t="s">
        <v>51</v>
      </c>
      <c r="C38" s="48" t="s">
        <v>96</v>
      </c>
      <c r="D38" s="48" t="s">
        <v>350</v>
      </c>
      <c r="E38" s="42" t="s">
        <v>104</v>
      </c>
      <c r="F38" s="65" t="s">
        <v>151</v>
      </c>
      <c r="G38" s="64">
        <v>146576</v>
      </c>
      <c r="H38" s="95">
        <v>4689</v>
      </c>
      <c r="I38" s="95">
        <v>5504</v>
      </c>
      <c r="J38" s="95">
        <v>5324</v>
      </c>
      <c r="K38" s="95">
        <v>5148</v>
      </c>
      <c r="L38" s="95">
        <v>4971</v>
      </c>
      <c r="M38" s="95">
        <v>4797</v>
      </c>
      <c r="N38" s="81">
        <f>4618+11802</f>
        <v>16420</v>
      </c>
      <c r="O38" s="58">
        <f t="shared" si="1"/>
        <v>46853</v>
      </c>
    </row>
    <row r="39" spans="1:15" s="17" customFormat="1" ht="25.5">
      <c r="A39" s="16"/>
      <c r="B39" s="70" t="s">
        <v>52</v>
      </c>
      <c r="C39" s="48" t="s">
        <v>96</v>
      </c>
      <c r="D39" s="48" t="s">
        <v>152</v>
      </c>
      <c r="E39" s="42" t="s">
        <v>153</v>
      </c>
      <c r="F39" s="65" t="s">
        <v>154</v>
      </c>
      <c r="G39" s="64">
        <v>206202</v>
      </c>
      <c r="H39" s="95">
        <v>13812</v>
      </c>
      <c r="I39" s="95">
        <v>13572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58">
        <f t="shared" si="1"/>
        <v>27384</v>
      </c>
    </row>
    <row r="40" spans="1:15" s="17" customFormat="1" ht="25.5">
      <c r="A40" s="16"/>
      <c r="B40" s="70" t="s">
        <v>53</v>
      </c>
      <c r="C40" s="48" t="s">
        <v>96</v>
      </c>
      <c r="D40" s="48" t="s">
        <v>155</v>
      </c>
      <c r="E40" s="42" t="s">
        <v>156</v>
      </c>
      <c r="F40" s="65" t="s">
        <v>157</v>
      </c>
      <c r="G40" s="64">
        <v>136764</v>
      </c>
      <c r="H40" s="95">
        <v>2117</v>
      </c>
      <c r="I40" s="95">
        <v>2663</v>
      </c>
      <c r="J40" s="95">
        <v>2592</v>
      </c>
      <c r="K40" s="95">
        <v>2521</v>
      </c>
      <c r="L40" s="95">
        <v>2451</v>
      </c>
      <c r="M40" s="95">
        <v>2380</v>
      </c>
      <c r="N40" s="81">
        <f>2309+17198</f>
        <v>19507</v>
      </c>
      <c r="O40" s="58">
        <f t="shared" si="1"/>
        <v>34231</v>
      </c>
    </row>
    <row r="41" spans="1:15" s="17" customFormat="1" ht="25.5">
      <c r="A41" s="16"/>
      <c r="B41" s="70" t="s">
        <v>54</v>
      </c>
      <c r="C41" s="48" t="s">
        <v>96</v>
      </c>
      <c r="D41" s="48" t="s">
        <v>159</v>
      </c>
      <c r="E41" s="42" t="s">
        <v>160</v>
      </c>
      <c r="F41" s="65" t="s">
        <v>161</v>
      </c>
      <c r="G41" s="64">
        <v>227654</v>
      </c>
      <c r="H41" s="95">
        <v>4746</v>
      </c>
      <c r="I41" s="95">
        <v>5702</v>
      </c>
      <c r="J41" s="95">
        <v>5536</v>
      </c>
      <c r="K41" s="95">
        <v>5371</v>
      </c>
      <c r="L41" s="95">
        <v>5205</v>
      </c>
      <c r="M41" s="95">
        <v>5040</v>
      </c>
      <c r="N41" s="81">
        <f>4874+24827</f>
        <v>29701</v>
      </c>
      <c r="O41" s="58">
        <f t="shared" si="1"/>
        <v>61301</v>
      </c>
    </row>
    <row r="42" spans="1:15" s="17" customFormat="1" ht="12.75">
      <c r="A42" s="16"/>
      <c r="B42" s="70" t="s">
        <v>55</v>
      </c>
      <c r="C42" s="48" t="s">
        <v>96</v>
      </c>
      <c r="D42" s="68" t="s">
        <v>162</v>
      </c>
      <c r="E42" s="42" t="s">
        <v>163</v>
      </c>
      <c r="F42" s="65" t="s">
        <v>164</v>
      </c>
      <c r="G42" s="64">
        <v>179282</v>
      </c>
      <c r="H42" s="95">
        <v>4002</v>
      </c>
      <c r="I42" s="95">
        <v>4904</v>
      </c>
      <c r="J42" s="95">
        <v>4775</v>
      </c>
      <c r="K42" s="95">
        <v>4646</v>
      </c>
      <c r="L42" s="95">
        <v>4518</v>
      </c>
      <c r="M42" s="95">
        <v>4389</v>
      </c>
      <c r="N42" s="81">
        <f>4261+27874</f>
        <v>32135</v>
      </c>
      <c r="O42" s="58">
        <f t="shared" si="1"/>
        <v>59369</v>
      </c>
    </row>
    <row r="43" spans="1:15" s="17" customFormat="1" ht="12.75">
      <c r="A43" s="16"/>
      <c r="B43" s="70" t="s">
        <v>56</v>
      </c>
      <c r="C43" s="48" t="s">
        <v>96</v>
      </c>
      <c r="D43" s="68" t="s">
        <v>165</v>
      </c>
      <c r="E43" s="42" t="s">
        <v>166</v>
      </c>
      <c r="F43" s="65" t="s">
        <v>167</v>
      </c>
      <c r="G43" s="64">
        <v>229711</v>
      </c>
      <c r="H43" s="95">
        <v>3178</v>
      </c>
      <c r="I43" s="95">
        <v>3603</v>
      </c>
      <c r="J43" s="95">
        <v>3479</v>
      </c>
      <c r="K43" s="95">
        <v>3358</v>
      </c>
      <c r="L43" s="95">
        <v>3236</v>
      </c>
      <c r="M43" s="95">
        <v>3116</v>
      </c>
      <c r="N43" s="81">
        <f>2993+3459</f>
        <v>6452</v>
      </c>
      <c r="O43" s="58">
        <f>SUM(H43:N43)</f>
        <v>26422</v>
      </c>
    </row>
    <row r="44" spans="1:15" s="17" customFormat="1" ht="12.75">
      <c r="A44" s="16"/>
      <c r="B44" s="70" t="s">
        <v>303</v>
      </c>
      <c r="C44" s="48" t="s">
        <v>96</v>
      </c>
      <c r="D44" s="68" t="s">
        <v>168</v>
      </c>
      <c r="E44" s="42" t="s">
        <v>104</v>
      </c>
      <c r="F44" s="65" t="s">
        <v>105</v>
      </c>
      <c r="G44" s="64">
        <v>222359</v>
      </c>
      <c r="H44" s="95">
        <v>14333</v>
      </c>
      <c r="I44" s="95">
        <v>13893</v>
      </c>
      <c r="J44" s="95">
        <v>13700</v>
      </c>
      <c r="K44" s="95">
        <v>13508</v>
      </c>
      <c r="L44" s="95">
        <v>13315</v>
      </c>
      <c r="M44" s="95">
        <v>13123</v>
      </c>
      <c r="N44" s="95">
        <v>12930</v>
      </c>
      <c r="O44" s="58">
        <f>SUM(H44:N44)</f>
        <v>94802</v>
      </c>
    </row>
    <row r="45" spans="1:15" s="17" customFormat="1" ht="12.75">
      <c r="A45" s="16"/>
      <c r="B45" s="70" t="s">
        <v>57</v>
      </c>
      <c r="C45" s="48" t="s">
        <v>96</v>
      </c>
      <c r="D45" s="68" t="s">
        <v>169</v>
      </c>
      <c r="E45" s="42" t="s">
        <v>170</v>
      </c>
      <c r="F45" s="65" t="s">
        <v>171</v>
      </c>
      <c r="G45" s="64">
        <v>69658</v>
      </c>
      <c r="H45" s="95">
        <v>7739</v>
      </c>
      <c r="I45" s="95">
        <v>7964</v>
      </c>
      <c r="J45" s="95">
        <v>7648</v>
      </c>
      <c r="K45" s="95">
        <v>5548</v>
      </c>
      <c r="L45" s="95">
        <v>0</v>
      </c>
      <c r="M45" s="81">
        <v>0</v>
      </c>
      <c r="N45" s="81">
        <v>0</v>
      </c>
      <c r="O45" s="58">
        <f t="shared" si="1"/>
        <v>28899</v>
      </c>
    </row>
    <row r="46" spans="1:15" s="17" customFormat="1" ht="51">
      <c r="A46" s="16"/>
      <c r="B46" s="70" t="s">
        <v>58</v>
      </c>
      <c r="C46" s="48" t="s">
        <v>96</v>
      </c>
      <c r="D46" s="48" t="s">
        <v>172</v>
      </c>
      <c r="E46" s="42" t="s">
        <v>156</v>
      </c>
      <c r="F46" s="65" t="s">
        <v>173</v>
      </c>
      <c r="G46" s="64">
        <v>21017</v>
      </c>
      <c r="H46" s="95">
        <v>2391</v>
      </c>
      <c r="I46" s="95">
        <v>2307</v>
      </c>
      <c r="J46" s="95">
        <v>2275</v>
      </c>
      <c r="K46" s="95">
        <v>2243</v>
      </c>
      <c r="L46" s="95">
        <v>2212</v>
      </c>
      <c r="M46" s="95">
        <v>1641</v>
      </c>
      <c r="N46" s="81">
        <v>0</v>
      </c>
      <c r="O46" s="58">
        <f>SUM(H46:N46)</f>
        <v>13069</v>
      </c>
    </row>
    <row r="47" spans="1:15" s="17" customFormat="1" ht="25.5">
      <c r="A47" s="16"/>
      <c r="B47" s="70" t="s">
        <v>59</v>
      </c>
      <c r="C47" s="48" t="s">
        <v>96</v>
      </c>
      <c r="D47" s="48" t="s">
        <v>174</v>
      </c>
      <c r="E47" s="42" t="s">
        <v>153</v>
      </c>
      <c r="F47" s="65" t="s">
        <v>175</v>
      </c>
      <c r="G47" s="64">
        <v>76320</v>
      </c>
      <c r="H47" s="95">
        <v>5257</v>
      </c>
      <c r="I47" s="95">
        <v>5322</v>
      </c>
      <c r="J47" s="95">
        <v>5199</v>
      </c>
      <c r="K47" s="95">
        <v>5076</v>
      </c>
      <c r="L47" s="95">
        <v>4953</v>
      </c>
      <c r="M47" s="95">
        <v>4830</v>
      </c>
      <c r="N47" s="81">
        <f>4707+21685</f>
        <v>26392</v>
      </c>
      <c r="O47" s="58">
        <f>SUM(H47:N47)</f>
        <v>57029</v>
      </c>
    </row>
    <row r="48" spans="1:15" s="17" customFormat="1" ht="25.5">
      <c r="A48" s="16"/>
      <c r="B48" s="70" t="s">
        <v>60</v>
      </c>
      <c r="C48" s="48" t="s">
        <v>96</v>
      </c>
      <c r="D48" s="48" t="s">
        <v>177</v>
      </c>
      <c r="E48" s="42" t="s">
        <v>128</v>
      </c>
      <c r="F48" s="65" t="s">
        <v>129</v>
      </c>
      <c r="G48" s="64">
        <v>366300</v>
      </c>
      <c r="H48" s="95">
        <v>25141</v>
      </c>
      <c r="I48" s="95">
        <v>30491</v>
      </c>
      <c r="J48" s="95">
        <v>29684</v>
      </c>
      <c r="K48" s="95">
        <v>28877</v>
      </c>
      <c r="L48" s="95">
        <v>28070</v>
      </c>
      <c r="M48" s="95">
        <v>27263</v>
      </c>
      <c r="N48" s="81">
        <f>26456+166559</f>
        <v>193015</v>
      </c>
      <c r="O48" s="58">
        <f>SUM(H48:N48)</f>
        <v>362541</v>
      </c>
    </row>
    <row r="49" spans="1:15" s="17" customFormat="1" ht="25.5">
      <c r="A49" s="16"/>
      <c r="B49" s="70" t="s">
        <v>61</v>
      </c>
      <c r="C49" s="48" t="s">
        <v>96</v>
      </c>
      <c r="D49" s="48" t="s">
        <v>178</v>
      </c>
      <c r="E49" s="42" t="s">
        <v>179</v>
      </c>
      <c r="F49" s="65" t="s">
        <v>180</v>
      </c>
      <c r="G49" s="64">
        <v>110189</v>
      </c>
      <c r="H49" s="95">
        <v>12575</v>
      </c>
      <c r="I49" s="95">
        <v>13247</v>
      </c>
      <c r="J49" s="95">
        <v>12777</v>
      </c>
      <c r="K49" s="95">
        <v>12306</v>
      </c>
      <c r="L49" s="95">
        <v>6035</v>
      </c>
      <c r="M49" s="95">
        <v>0</v>
      </c>
      <c r="N49" s="81">
        <v>0</v>
      </c>
      <c r="O49" s="58">
        <f>SUM(H49:N49)</f>
        <v>56940</v>
      </c>
    </row>
    <row r="50" spans="1:15" s="17" customFormat="1" ht="25.5">
      <c r="A50" s="16"/>
      <c r="B50" s="70" t="s">
        <v>62</v>
      </c>
      <c r="C50" s="48" t="s">
        <v>96</v>
      </c>
      <c r="D50" s="48" t="s">
        <v>181</v>
      </c>
      <c r="E50" s="42" t="s">
        <v>182</v>
      </c>
      <c r="F50" s="65" t="s">
        <v>183</v>
      </c>
      <c r="G50" s="64">
        <v>30131</v>
      </c>
      <c r="H50" s="95">
        <v>3499</v>
      </c>
      <c r="I50" s="95">
        <v>3770</v>
      </c>
      <c r="J50" s="95">
        <v>3637</v>
      </c>
      <c r="K50" s="95">
        <v>3504</v>
      </c>
      <c r="L50" s="95">
        <v>3371</v>
      </c>
      <c r="M50" s="95">
        <v>1652</v>
      </c>
      <c r="N50" s="81">
        <v>0</v>
      </c>
      <c r="O50" s="58">
        <f t="shared" si="1"/>
        <v>19433</v>
      </c>
    </row>
    <row r="51" spans="1:15" s="17" customFormat="1" ht="25.5">
      <c r="A51" s="16"/>
      <c r="B51" s="70" t="s">
        <v>63</v>
      </c>
      <c r="C51" s="48" t="s">
        <v>96</v>
      </c>
      <c r="D51" s="48" t="s">
        <v>184</v>
      </c>
      <c r="E51" s="42" t="s">
        <v>179</v>
      </c>
      <c r="F51" s="65" t="s">
        <v>185</v>
      </c>
      <c r="G51" s="64">
        <v>205405</v>
      </c>
      <c r="H51" s="95">
        <v>11612</v>
      </c>
      <c r="I51" s="95">
        <v>14677</v>
      </c>
      <c r="J51" s="95">
        <v>14336</v>
      </c>
      <c r="K51" s="95">
        <v>13996</v>
      </c>
      <c r="L51" s="95">
        <v>13656</v>
      </c>
      <c r="M51" s="95">
        <v>13316</v>
      </c>
      <c r="N51" s="81">
        <f>12976+109052</f>
        <v>122028</v>
      </c>
      <c r="O51" s="58">
        <f t="shared" si="1"/>
        <v>203621</v>
      </c>
    </row>
    <row r="52" spans="1:15" s="17" customFormat="1" ht="25.5">
      <c r="A52" s="16"/>
      <c r="B52" s="70" t="s">
        <v>64</v>
      </c>
      <c r="C52" s="48" t="s">
        <v>96</v>
      </c>
      <c r="D52" s="48" t="s">
        <v>351</v>
      </c>
      <c r="E52" s="42" t="s">
        <v>186</v>
      </c>
      <c r="F52" s="65" t="s">
        <v>147</v>
      </c>
      <c r="G52" s="64">
        <v>176751</v>
      </c>
      <c r="H52" s="95">
        <v>14306</v>
      </c>
      <c r="I52" s="95">
        <v>16817</v>
      </c>
      <c r="J52" s="95">
        <v>16352</v>
      </c>
      <c r="K52" s="95">
        <v>15907</v>
      </c>
      <c r="L52" s="95">
        <v>15460</v>
      </c>
      <c r="M52" s="95">
        <v>15027</v>
      </c>
      <c r="N52" s="81">
        <f>14567+118689</f>
        <v>133256</v>
      </c>
      <c r="O52" s="58">
        <f t="shared" si="1"/>
        <v>227125</v>
      </c>
    </row>
    <row r="53" spans="1:15" s="17" customFormat="1" ht="25.5">
      <c r="A53" s="16"/>
      <c r="B53" s="70" t="s">
        <v>65</v>
      </c>
      <c r="C53" s="48" t="s">
        <v>96</v>
      </c>
      <c r="D53" s="48" t="s">
        <v>187</v>
      </c>
      <c r="E53" s="42" t="s">
        <v>188</v>
      </c>
      <c r="F53" s="65" t="s">
        <v>189</v>
      </c>
      <c r="G53" s="64">
        <v>118509</v>
      </c>
      <c r="H53" s="95">
        <v>8679</v>
      </c>
      <c r="I53" s="95">
        <v>8657</v>
      </c>
      <c r="J53" s="95">
        <v>8473</v>
      </c>
      <c r="K53" s="95">
        <v>8289</v>
      </c>
      <c r="L53" s="95">
        <v>8105</v>
      </c>
      <c r="M53" s="95">
        <v>7921</v>
      </c>
      <c r="N53" s="81">
        <f>7737+55268</f>
        <v>63005</v>
      </c>
      <c r="O53" s="58">
        <f t="shared" si="1"/>
        <v>113129</v>
      </c>
    </row>
    <row r="54" spans="1:15" s="17" customFormat="1" ht="38.25">
      <c r="A54" s="16"/>
      <c r="B54" s="70" t="s">
        <v>66</v>
      </c>
      <c r="C54" s="48" t="s">
        <v>96</v>
      </c>
      <c r="D54" s="48" t="s">
        <v>190</v>
      </c>
      <c r="E54" s="42" t="s">
        <v>191</v>
      </c>
      <c r="F54" s="65" t="s">
        <v>192</v>
      </c>
      <c r="G54" s="64">
        <v>84029</v>
      </c>
      <c r="H54" s="95">
        <v>5701</v>
      </c>
      <c r="I54" s="95">
        <v>6462</v>
      </c>
      <c r="J54" s="95">
        <v>6296</v>
      </c>
      <c r="K54" s="95">
        <v>6129</v>
      </c>
      <c r="L54" s="95">
        <v>5963</v>
      </c>
      <c r="M54" s="95">
        <v>5796</v>
      </c>
      <c r="N54" s="81">
        <f>5630+35852</f>
        <v>41482</v>
      </c>
      <c r="O54" s="58">
        <f t="shared" si="1"/>
        <v>77829</v>
      </c>
    </row>
    <row r="55" spans="1:15" s="17" customFormat="1" ht="38.25">
      <c r="A55" s="16"/>
      <c r="B55" s="70" t="s">
        <v>67</v>
      </c>
      <c r="C55" s="48" t="s">
        <v>96</v>
      </c>
      <c r="D55" s="48" t="s">
        <v>190</v>
      </c>
      <c r="E55" s="42" t="s">
        <v>193</v>
      </c>
      <c r="F55" s="65" t="s">
        <v>194</v>
      </c>
      <c r="G55" s="64">
        <v>68046</v>
      </c>
      <c r="H55" s="95">
        <v>4832</v>
      </c>
      <c r="I55" s="95">
        <v>4741</v>
      </c>
      <c r="J55" s="95">
        <v>4643</v>
      </c>
      <c r="K55" s="95">
        <v>4545</v>
      </c>
      <c r="L55" s="95">
        <v>4447</v>
      </c>
      <c r="M55" s="95">
        <v>4349</v>
      </c>
      <c r="N55" s="81">
        <f>4251+26143</f>
        <v>30394</v>
      </c>
      <c r="O55" s="58">
        <f t="shared" si="1"/>
        <v>57951</v>
      </c>
    </row>
    <row r="56" spans="1:15" s="17" customFormat="1" ht="25.5">
      <c r="A56" s="16"/>
      <c r="B56" s="70" t="s">
        <v>68</v>
      </c>
      <c r="C56" s="48" t="s">
        <v>96</v>
      </c>
      <c r="D56" s="48" t="s">
        <v>195</v>
      </c>
      <c r="E56" s="42" t="s">
        <v>196</v>
      </c>
      <c r="F56" s="65" t="s">
        <v>197</v>
      </c>
      <c r="G56" s="64">
        <v>71144</v>
      </c>
      <c r="H56" s="95">
        <v>4001</v>
      </c>
      <c r="I56" s="95">
        <v>4185</v>
      </c>
      <c r="J56" s="95">
        <v>4034</v>
      </c>
      <c r="K56" s="95">
        <v>3884</v>
      </c>
      <c r="L56" s="95">
        <v>894</v>
      </c>
      <c r="M56" s="81">
        <v>0</v>
      </c>
      <c r="N56" s="81">
        <v>0</v>
      </c>
      <c r="O56" s="58">
        <f t="shared" si="1"/>
        <v>16998</v>
      </c>
    </row>
    <row r="57" spans="1:15" s="17" customFormat="1" ht="25.5">
      <c r="A57" s="16"/>
      <c r="B57" s="70" t="s">
        <v>304</v>
      </c>
      <c r="C57" s="48" t="s">
        <v>96</v>
      </c>
      <c r="D57" s="48" t="s">
        <v>198</v>
      </c>
      <c r="E57" s="42" t="s">
        <v>199</v>
      </c>
      <c r="F57" s="65" t="s">
        <v>200</v>
      </c>
      <c r="G57" s="64">
        <v>87565</v>
      </c>
      <c r="H57" s="95">
        <v>6466</v>
      </c>
      <c r="I57" s="95">
        <v>6677</v>
      </c>
      <c r="J57" s="95">
        <v>6405</v>
      </c>
      <c r="K57" s="95">
        <v>3039</v>
      </c>
      <c r="L57" s="95">
        <v>0</v>
      </c>
      <c r="M57" s="81">
        <v>0</v>
      </c>
      <c r="N57" s="81">
        <v>0</v>
      </c>
      <c r="O57" s="58">
        <f t="shared" si="1"/>
        <v>22587</v>
      </c>
    </row>
    <row r="58" spans="1:15" s="17" customFormat="1" ht="25.5">
      <c r="A58" s="16"/>
      <c r="B58" s="70" t="s">
        <v>305</v>
      </c>
      <c r="C58" s="48" t="s">
        <v>96</v>
      </c>
      <c r="D58" s="48" t="s">
        <v>201</v>
      </c>
      <c r="E58" s="42" t="s">
        <v>202</v>
      </c>
      <c r="F58" s="65" t="s">
        <v>118</v>
      </c>
      <c r="G58" s="64">
        <v>426862</v>
      </c>
      <c r="H58" s="95">
        <v>23407</v>
      </c>
      <c r="I58" s="95">
        <v>23189</v>
      </c>
      <c r="J58" s="95">
        <v>22952</v>
      </c>
      <c r="K58" s="95">
        <v>22714</v>
      </c>
      <c r="L58" s="95">
        <v>22476</v>
      </c>
      <c r="M58" s="95">
        <v>5503</v>
      </c>
      <c r="N58" s="81">
        <v>0</v>
      </c>
      <c r="O58" s="58">
        <f t="shared" si="1"/>
        <v>120241</v>
      </c>
    </row>
    <row r="59" spans="1:15" s="17" customFormat="1" ht="25.5">
      <c r="A59" s="16"/>
      <c r="B59" s="70" t="s">
        <v>69</v>
      </c>
      <c r="C59" s="48" t="s">
        <v>96</v>
      </c>
      <c r="D59" s="48" t="s">
        <v>203</v>
      </c>
      <c r="E59" s="42" t="s">
        <v>204</v>
      </c>
      <c r="F59" s="65" t="s">
        <v>180</v>
      </c>
      <c r="G59" s="64">
        <v>49801</v>
      </c>
      <c r="H59" s="95">
        <v>2805</v>
      </c>
      <c r="I59" s="95">
        <v>2940</v>
      </c>
      <c r="J59" s="95">
        <v>2840</v>
      </c>
      <c r="K59" s="95">
        <v>2739</v>
      </c>
      <c r="L59" s="95">
        <v>1291</v>
      </c>
      <c r="M59" s="95">
        <v>0</v>
      </c>
      <c r="N59" s="81">
        <v>0</v>
      </c>
      <c r="O59" s="58">
        <f t="shared" si="1"/>
        <v>12615</v>
      </c>
    </row>
    <row r="60" spans="1:15" s="17" customFormat="1" ht="25.5">
      <c r="A60" s="16"/>
      <c r="B60" s="70" t="s">
        <v>70</v>
      </c>
      <c r="C60" s="48" t="s">
        <v>96</v>
      </c>
      <c r="D60" s="48" t="s">
        <v>205</v>
      </c>
      <c r="E60" s="42" t="s">
        <v>206</v>
      </c>
      <c r="F60" s="65" t="s">
        <v>207</v>
      </c>
      <c r="G60" s="64">
        <v>34969</v>
      </c>
      <c r="H60" s="95">
        <v>3781</v>
      </c>
      <c r="I60" s="95">
        <v>3777</v>
      </c>
      <c r="J60" s="95">
        <v>3610</v>
      </c>
      <c r="K60" s="95">
        <v>0</v>
      </c>
      <c r="L60" s="95">
        <v>0</v>
      </c>
      <c r="M60" s="95">
        <v>0</v>
      </c>
      <c r="N60" s="81">
        <v>0</v>
      </c>
      <c r="O60" s="58">
        <f t="shared" si="1"/>
        <v>11168</v>
      </c>
    </row>
    <row r="61" spans="1:15" s="17" customFormat="1" ht="25.5">
      <c r="A61" s="16"/>
      <c r="B61" s="70" t="s">
        <v>71</v>
      </c>
      <c r="C61" s="48" t="s">
        <v>96</v>
      </c>
      <c r="D61" s="48" t="s">
        <v>205</v>
      </c>
      <c r="E61" s="42" t="s">
        <v>208</v>
      </c>
      <c r="F61" s="65" t="s">
        <v>209</v>
      </c>
      <c r="G61" s="64">
        <v>17860</v>
      </c>
      <c r="H61" s="95">
        <v>1917</v>
      </c>
      <c r="I61" s="95">
        <v>1934</v>
      </c>
      <c r="J61" s="95">
        <v>1869</v>
      </c>
      <c r="K61" s="95">
        <v>463</v>
      </c>
      <c r="L61" s="95">
        <v>0</v>
      </c>
      <c r="M61" s="95">
        <v>0</v>
      </c>
      <c r="N61" s="81">
        <v>0</v>
      </c>
      <c r="O61" s="58">
        <f t="shared" si="1"/>
        <v>6183</v>
      </c>
    </row>
    <row r="62" spans="1:15" s="17" customFormat="1" ht="51">
      <c r="A62" s="16"/>
      <c r="B62" s="70" t="s">
        <v>72</v>
      </c>
      <c r="C62" s="48" t="s">
        <v>96</v>
      </c>
      <c r="D62" s="48" t="s">
        <v>352</v>
      </c>
      <c r="E62" s="42" t="s">
        <v>128</v>
      </c>
      <c r="F62" s="65" t="s">
        <v>129</v>
      </c>
      <c r="G62" s="64">
        <v>130230</v>
      </c>
      <c r="H62" s="95">
        <v>7975</v>
      </c>
      <c r="I62" s="95">
        <v>9694</v>
      </c>
      <c r="J62" s="95">
        <v>9425</v>
      </c>
      <c r="K62" s="95">
        <v>9166</v>
      </c>
      <c r="L62" s="95">
        <v>8906</v>
      </c>
      <c r="M62" s="95">
        <v>8653</v>
      </c>
      <c r="N62" s="81">
        <f>8386+60823</f>
        <v>69209</v>
      </c>
      <c r="O62" s="58">
        <f t="shared" si="1"/>
        <v>123028</v>
      </c>
    </row>
    <row r="63" spans="1:15" s="17" customFormat="1" ht="38.25">
      <c r="A63" s="16"/>
      <c r="B63" s="70" t="s">
        <v>73</v>
      </c>
      <c r="C63" s="48" t="s">
        <v>96</v>
      </c>
      <c r="D63" s="48" t="s">
        <v>329</v>
      </c>
      <c r="E63" s="42" t="s">
        <v>289</v>
      </c>
      <c r="F63" s="65" t="s">
        <v>297</v>
      </c>
      <c r="G63" s="64">
        <v>163392</v>
      </c>
      <c r="H63" s="95">
        <v>67298</v>
      </c>
      <c r="I63" s="95">
        <v>36503</v>
      </c>
      <c r="J63" s="95">
        <v>36412</v>
      </c>
      <c r="K63" s="95">
        <v>18184</v>
      </c>
      <c r="L63" s="95">
        <v>0</v>
      </c>
      <c r="M63" s="95">
        <v>0</v>
      </c>
      <c r="N63" s="81">
        <v>0</v>
      </c>
      <c r="O63" s="58">
        <f t="shared" si="1"/>
        <v>158397</v>
      </c>
    </row>
    <row r="64" spans="1:15" s="17" customFormat="1" ht="38.25">
      <c r="A64" s="16"/>
      <c r="B64" s="70" t="s">
        <v>74</v>
      </c>
      <c r="C64" s="48" t="s">
        <v>96</v>
      </c>
      <c r="D64" s="48" t="s">
        <v>290</v>
      </c>
      <c r="E64" s="42" t="s">
        <v>291</v>
      </c>
      <c r="F64" s="65" t="s">
        <v>298</v>
      </c>
      <c r="G64" s="64">
        <v>101392</v>
      </c>
      <c r="H64" s="95">
        <v>7092</v>
      </c>
      <c r="I64" s="95">
        <v>8596</v>
      </c>
      <c r="J64" s="95">
        <v>8411</v>
      </c>
      <c r="K64" s="95">
        <v>8226</v>
      </c>
      <c r="L64" s="95">
        <v>8041</v>
      </c>
      <c r="M64" s="95">
        <v>7856</v>
      </c>
      <c r="N64" s="81">
        <f>7671+65441</f>
        <v>73112</v>
      </c>
      <c r="O64" s="58">
        <f t="shared" si="1"/>
        <v>121334</v>
      </c>
    </row>
    <row r="65" spans="1:15" s="17" customFormat="1" ht="38.25">
      <c r="A65" s="16"/>
      <c r="B65" s="70" t="s">
        <v>75</v>
      </c>
      <c r="C65" s="48" t="s">
        <v>96</v>
      </c>
      <c r="D65" s="48" t="s">
        <v>353</v>
      </c>
      <c r="E65" s="42" t="s">
        <v>291</v>
      </c>
      <c r="F65" s="65" t="s">
        <v>298</v>
      </c>
      <c r="G65" s="64">
        <v>435260</v>
      </c>
      <c r="H65" s="95">
        <v>35443</v>
      </c>
      <c r="I65" s="95">
        <v>37021</v>
      </c>
      <c r="J65" s="95">
        <v>36177</v>
      </c>
      <c r="K65" s="95">
        <v>35373</v>
      </c>
      <c r="L65" s="95">
        <v>34567</v>
      </c>
      <c r="M65" s="95">
        <v>33791</v>
      </c>
      <c r="N65" s="81">
        <f>32955+332727</f>
        <v>365682</v>
      </c>
      <c r="O65" s="58">
        <f t="shared" si="1"/>
        <v>578054</v>
      </c>
    </row>
    <row r="66" spans="1:15" s="17" customFormat="1" ht="38.25">
      <c r="A66" s="16"/>
      <c r="B66" s="70" t="s">
        <v>76</v>
      </c>
      <c r="C66" s="48" t="s">
        <v>96</v>
      </c>
      <c r="D66" s="48" t="s">
        <v>294</v>
      </c>
      <c r="E66" s="42" t="s">
        <v>286</v>
      </c>
      <c r="F66" s="65" t="s">
        <v>288</v>
      </c>
      <c r="G66" s="64">
        <v>816255</v>
      </c>
      <c r="H66" s="95">
        <v>12673</v>
      </c>
      <c r="I66" s="95">
        <v>25150</v>
      </c>
      <c r="J66" s="95">
        <v>24281</v>
      </c>
      <c r="K66" s="95">
        <v>23432</v>
      </c>
      <c r="L66" s="95">
        <v>22580</v>
      </c>
      <c r="M66" s="95">
        <v>21735</v>
      </c>
      <c r="N66" s="81">
        <f>20875+34503</f>
        <v>55378</v>
      </c>
      <c r="O66" s="58">
        <f t="shared" si="1"/>
        <v>185229</v>
      </c>
    </row>
    <row r="67" spans="1:15" s="17" customFormat="1" ht="38.25">
      <c r="A67" s="16"/>
      <c r="B67" s="70" t="s">
        <v>77</v>
      </c>
      <c r="C67" s="48" t="s">
        <v>96</v>
      </c>
      <c r="D67" s="48" t="s">
        <v>295</v>
      </c>
      <c r="E67" s="42" t="s">
        <v>286</v>
      </c>
      <c r="F67" s="65" t="s">
        <v>288</v>
      </c>
      <c r="G67" s="64">
        <v>400313</v>
      </c>
      <c r="H67" s="95">
        <v>19494</v>
      </c>
      <c r="I67" s="95">
        <v>38564</v>
      </c>
      <c r="J67" s="95">
        <v>37522</v>
      </c>
      <c r="K67" s="95">
        <v>36529</v>
      </c>
      <c r="L67" s="95">
        <v>35534</v>
      </c>
      <c r="M67" s="95">
        <v>34574</v>
      </c>
      <c r="N67" s="81">
        <f>33542+319725</f>
        <v>353267</v>
      </c>
      <c r="O67" s="58">
        <f t="shared" si="1"/>
        <v>555484</v>
      </c>
    </row>
    <row r="68" spans="1:15" s="17" customFormat="1" ht="38.25">
      <c r="A68" s="16"/>
      <c r="B68" s="70" t="s">
        <v>78</v>
      </c>
      <c r="C68" s="48" t="s">
        <v>96</v>
      </c>
      <c r="D68" s="48" t="s">
        <v>296</v>
      </c>
      <c r="E68" s="42" t="s">
        <v>286</v>
      </c>
      <c r="F68" s="65" t="s">
        <v>299</v>
      </c>
      <c r="G68" s="64">
        <v>201692</v>
      </c>
      <c r="H68" s="95">
        <v>41488</v>
      </c>
      <c r="I68" s="95">
        <v>82073</v>
      </c>
      <c r="J68" s="95">
        <v>79856</v>
      </c>
      <c r="K68" s="95">
        <v>77743</v>
      </c>
      <c r="L68" s="95">
        <v>75625</v>
      </c>
      <c r="M68" s="95">
        <v>73582</v>
      </c>
      <c r="N68" s="81">
        <f>71385+680425</f>
        <v>751810</v>
      </c>
      <c r="O68" s="58">
        <f t="shared" si="1"/>
        <v>1182177</v>
      </c>
    </row>
    <row r="69" spans="1:15" s="17" customFormat="1" ht="38.25">
      <c r="A69" s="16"/>
      <c r="B69" s="70" t="s">
        <v>79</v>
      </c>
      <c r="C69" s="48" t="s">
        <v>96</v>
      </c>
      <c r="D69" s="48" t="s">
        <v>354</v>
      </c>
      <c r="E69" s="42" t="s">
        <v>130</v>
      </c>
      <c r="F69" s="65" t="s">
        <v>131</v>
      </c>
      <c r="G69" s="64">
        <v>243445</v>
      </c>
      <c r="H69" s="95">
        <v>13370</v>
      </c>
      <c r="I69" s="95">
        <v>15255</v>
      </c>
      <c r="J69" s="95">
        <v>14812</v>
      </c>
      <c r="K69" s="95">
        <v>14386</v>
      </c>
      <c r="L69" s="95">
        <v>13958</v>
      </c>
      <c r="M69" s="95">
        <v>13541</v>
      </c>
      <c r="N69" s="81">
        <f>13102+87081</f>
        <v>100183</v>
      </c>
      <c r="O69" s="58">
        <f>SUM(H69:N69)</f>
        <v>185505</v>
      </c>
    </row>
    <row r="70" spans="1:15" s="17" customFormat="1" ht="25.5">
      <c r="A70" s="16"/>
      <c r="B70" s="70" t="s">
        <v>80</v>
      </c>
      <c r="C70" s="48" t="s">
        <v>96</v>
      </c>
      <c r="D70" s="48" t="s">
        <v>176</v>
      </c>
      <c r="E70" s="42" t="s">
        <v>210</v>
      </c>
      <c r="F70" s="65" t="s">
        <v>211</v>
      </c>
      <c r="G70" s="64">
        <v>52030</v>
      </c>
      <c r="H70" s="95">
        <v>7593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81">
        <v>0</v>
      </c>
      <c r="O70" s="58">
        <f t="shared" si="1"/>
        <v>7593</v>
      </c>
    </row>
    <row r="71" spans="1:15" s="17" customFormat="1" ht="25.5">
      <c r="A71" s="16"/>
      <c r="B71" s="70" t="s">
        <v>81</v>
      </c>
      <c r="C71" s="48" t="s">
        <v>96</v>
      </c>
      <c r="D71" s="48" t="s">
        <v>212</v>
      </c>
      <c r="E71" s="42" t="s">
        <v>213</v>
      </c>
      <c r="F71" s="65" t="s">
        <v>214</v>
      </c>
      <c r="G71" s="64">
        <v>45823</v>
      </c>
      <c r="H71" s="95">
        <v>1701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81">
        <v>0</v>
      </c>
      <c r="O71" s="58">
        <f t="shared" si="1"/>
        <v>1701</v>
      </c>
    </row>
    <row r="72" spans="1:15" s="17" customFormat="1" ht="25.5">
      <c r="A72" s="16"/>
      <c r="B72" s="70" t="s">
        <v>82</v>
      </c>
      <c r="C72" s="48" t="s">
        <v>96</v>
      </c>
      <c r="D72" s="48" t="s">
        <v>216</v>
      </c>
      <c r="E72" s="42" t="s">
        <v>111</v>
      </c>
      <c r="F72" s="65" t="s">
        <v>134</v>
      </c>
      <c r="G72" s="64">
        <v>77468</v>
      </c>
      <c r="H72" s="95">
        <v>5753</v>
      </c>
      <c r="I72" s="95">
        <v>5649</v>
      </c>
      <c r="J72" s="95">
        <v>5568</v>
      </c>
      <c r="K72" s="95">
        <v>5476</v>
      </c>
      <c r="L72" s="95">
        <v>5390</v>
      </c>
      <c r="M72" s="95">
        <v>5303</v>
      </c>
      <c r="N72" s="81">
        <f>3929</f>
        <v>3929</v>
      </c>
      <c r="O72" s="58">
        <f t="shared" si="1"/>
        <v>37068</v>
      </c>
    </row>
    <row r="73" spans="1:15" s="17" customFormat="1" ht="51">
      <c r="A73" s="16"/>
      <c r="B73" s="70" t="s">
        <v>83</v>
      </c>
      <c r="C73" s="48" t="s">
        <v>96</v>
      </c>
      <c r="D73" s="48" t="s">
        <v>355</v>
      </c>
      <c r="E73" s="42" t="s">
        <v>243</v>
      </c>
      <c r="F73" s="65" t="s">
        <v>242</v>
      </c>
      <c r="G73" s="64">
        <v>99452</v>
      </c>
      <c r="H73" s="95">
        <v>14024</v>
      </c>
      <c r="I73" s="95">
        <v>15103</v>
      </c>
      <c r="J73" s="95">
        <v>14596</v>
      </c>
      <c r="K73" s="95">
        <v>14101</v>
      </c>
      <c r="L73" s="95">
        <v>13601</v>
      </c>
      <c r="M73" s="95">
        <v>13102</v>
      </c>
      <c r="N73" s="81">
        <f>12602+3100</f>
        <v>15702</v>
      </c>
      <c r="O73" s="58">
        <f t="shared" si="1"/>
        <v>100229</v>
      </c>
    </row>
    <row r="74" spans="1:15" s="17" customFormat="1" ht="38.25">
      <c r="A74" s="16"/>
      <c r="B74" s="70" t="s">
        <v>84</v>
      </c>
      <c r="C74" s="48" t="s">
        <v>96</v>
      </c>
      <c r="D74" s="48" t="s">
        <v>356</v>
      </c>
      <c r="E74" s="42" t="s">
        <v>243</v>
      </c>
      <c r="F74" s="65" t="s">
        <v>242</v>
      </c>
      <c r="G74" s="64">
        <v>235790</v>
      </c>
      <c r="H74" s="95">
        <v>6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81">
        <v>0</v>
      </c>
      <c r="O74" s="58">
        <f t="shared" si="1"/>
        <v>6</v>
      </c>
    </row>
    <row r="75" spans="1:15" s="17" customFormat="1" ht="25.5">
      <c r="A75" s="16"/>
      <c r="B75" s="70" t="s">
        <v>85</v>
      </c>
      <c r="C75" s="48" t="s">
        <v>96</v>
      </c>
      <c r="D75" s="48" t="s">
        <v>241</v>
      </c>
      <c r="E75" s="42" t="s">
        <v>240</v>
      </c>
      <c r="F75" s="65" t="s">
        <v>239</v>
      </c>
      <c r="G75" s="64">
        <v>364845</v>
      </c>
      <c r="H75" s="95">
        <v>30939</v>
      </c>
      <c r="I75" s="95">
        <v>30275</v>
      </c>
      <c r="J75" s="95">
        <v>29617</v>
      </c>
      <c r="K75" s="95">
        <v>28960</v>
      </c>
      <c r="L75" s="95">
        <v>28303</v>
      </c>
      <c r="M75" s="95">
        <v>27645</v>
      </c>
      <c r="N75" s="81">
        <f>26988+192871</f>
        <v>219859</v>
      </c>
      <c r="O75" s="58">
        <f aca="true" t="shared" si="2" ref="O75:O92">SUM(H75:N75)</f>
        <v>395598</v>
      </c>
    </row>
    <row r="76" spans="1:15" s="17" customFormat="1" ht="25.5">
      <c r="A76" s="16"/>
      <c r="B76" s="70" t="s">
        <v>86</v>
      </c>
      <c r="C76" s="48" t="s">
        <v>96</v>
      </c>
      <c r="D76" s="48" t="s">
        <v>212</v>
      </c>
      <c r="E76" s="42" t="s">
        <v>215</v>
      </c>
      <c r="F76" s="65" t="s">
        <v>106</v>
      </c>
      <c r="G76" s="64">
        <v>30000</v>
      </c>
      <c r="H76" s="95">
        <v>4908</v>
      </c>
      <c r="I76" s="95">
        <v>5090</v>
      </c>
      <c r="J76" s="95">
        <v>4900</v>
      </c>
      <c r="K76" s="95">
        <v>2403</v>
      </c>
      <c r="L76" s="95">
        <v>0</v>
      </c>
      <c r="M76" s="95">
        <v>0</v>
      </c>
      <c r="N76" s="81">
        <v>0</v>
      </c>
      <c r="O76" s="58">
        <f t="shared" si="2"/>
        <v>17301</v>
      </c>
    </row>
    <row r="77" spans="1:15" s="17" customFormat="1" ht="38.25">
      <c r="A77" s="16"/>
      <c r="B77" s="70" t="s">
        <v>87</v>
      </c>
      <c r="C77" s="48" t="s">
        <v>96</v>
      </c>
      <c r="D77" s="48" t="s">
        <v>287</v>
      </c>
      <c r="E77" s="42" t="s">
        <v>286</v>
      </c>
      <c r="F77" s="65" t="s">
        <v>288</v>
      </c>
      <c r="G77" s="64">
        <v>451819</v>
      </c>
      <c r="H77" s="95">
        <v>22822</v>
      </c>
      <c r="I77" s="95">
        <v>45147</v>
      </c>
      <c r="J77" s="95">
        <v>43928</v>
      </c>
      <c r="K77" s="95">
        <v>42765</v>
      </c>
      <c r="L77" s="95">
        <v>41600</v>
      </c>
      <c r="M77" s="95">
        <v>40476</v>
      </c>
      <c r="N77" s="81">
        <f>39268+374294</f>
        <v>413562</v>
      </c>
      <c r="O77" s="58">
        <f t="shared" si="2"/>
        <v>650300</v>
      </c>
    </row>
    <row r="78" spans="1:15" s="17" customFormat="1" ht="51">
      <c r="A78" s="16"/>
      <c r="B78" s="70" t="s">
        <v>88</v>
      </c>
      <c r="C78" s="48" t="s">
        <v>96</v>
      </c>
      <c r="D78" s="71" t="s">
        <v>357</v>
      </c>
      <c r="E78" s="42" t="s">
        <v>265</v>
      </c>
      <c r="F78" s="63" t="s">
        <v>278</v>
      </c>
      <c r="G78" s="72">
        <v>600012</v>
      </c>
      <c r="H78" s="95">
        <v>45120</v>
      </c>
      <c r="I78" s="95">
        <v>45220</v>
      </c>
      <c r="J78" s="95">
        <v>45220</v>
      </c>
      <c r="K78" s="95">
        <v>31299</v>
      </c>
      <c r="L78" s="95">
        <v>0</v>
      </c>
      <c r="M78" s="95">
        <v>0</v>
      </c>
      <c r="N78" s="81">
        <v>0</v>
      </c>
      <c r="O78" s="58">
        <f t="shared" si="2"/>
        <v>166859</v>
      </c>
    </row>
    <row r="79" spans="1:15" s="17" customFormat="1" ht="76.5">
      <c r="A79" s="16"/>
      <c r="B79" s="70" t="s">
        <v>89</v>
      </c>
      <c r="C79" s="48" t="s">
        <v>96</v>
      </c>
      <c r="D79" s="48" t="s">
        <v>358</v>
      </c>
      <c r="E79" s="42" t="s">
        <v>158</v>
      </c>
      <c r="F79" s="65" t="s">
        <v>279</v>
      </c>
      <c r="G79" s="64">
        <v>526463</v>
      </c>
      <c r="H79" s="95">
        <v>39990</v>
      </c>
      <c r="I79" s="95">
        <v>40120</v>
      </c>
      <c r="J79" s="95">
        <v>40010</v>
      </c>
      <c r="K79" s="95">
        <v>40550</v>
      </c>
      <c r="L79" s="95">
        <v>23003</v>
      </c>
      <c r="M79" s="95">
        <v>0</v>
      </c>
      <c r="N79" s="81">
        <v>0</v>
      </c>
      <c r="O79" s="58">
        <f t="shared" si="2"/>
        <v>183673</v>
      </c>
    </row>
    <row r="80" spans="1:15" s="17" customFormat="1" ht="63.75">
      <c r="A80" s="16"/>
      <c r="B80" s="70" t="s">
        <v>90</v>
      </c>
      <c r="C80" s="48" t="s">
        <v>96</v>
      </c>
      <c r="D80" s="48" t="s">
        <v>253</v>
      </c>
      <c r="E80" s="42" t="s">
        <v>266</v>
      </c>
      <c r="F80" s="65" t="s">
        <v>280</v>
      </c>
      <c r="G80" s="64">
        <v>749853</v>
      </c>
      <c r="H80" s="95">
        <v>58990</v>
      </c>
      <c r="I80" s="95">
        <v>58990</v>
      </c>
      <c r="J80" s="95">
        <v>59010</v>
      </c>
      <c r="K80" s="95">
        <v>59110</v>
      </c>
      <c r="L80" s="95">
        <v>59500</v>
      </c>
      <c r="M80" s="95">
        <v>41293</v>
      </c>
      <c r="N80" s="81">
        <v>0</v>
      </c>
      <c r="O80" s="58">
        <f t="shared" si="2"/>
        <v>336893</v>
      </c>
    </row>
    <row r="81" spans="1:15" s="17" customFormat="1" ht="25.5">
      <c r="A81" s="16"/>
      <c r="B81" s="70" t="s">
        <v>91</v>
      </c>
      <c r="C81" s="48" t="s">
        <v>96</v>
      </c>
      <c r="D81" s="48" t="s">
        <v>254</v>
      </c>
      <c r="E81" s="42" t="s">
        <v>266</v>
      </c>
      <c r="F81" s="65" t="s">
        <v>280</v>
      </c>
      <c r="G81" s="64">
        <v>1158081</v>
      </c>
      <c r="H81" s="95">
        <v>58990</v>
      </c>
      <c r="I81" s="95">
        <v>58990</v>
      </c>
      <c r="J81" s="95">
        <v>59010</v>
      </c>
      <c r="K81" s="95">
        <v>59110</v>
      </c>
      <c r="L81" s="95">
        <v>59500</v>
      </c>
      <c r="M81" s="95">
        <v>41164</v>
      </c>
      <c r="N81" s="81">
        <v>0</v>
      </c>
      <c r="O81" s="58">
        <f t="shared" si="2"/>
        <v>336764</v>
      </c>
    </row>
    <row r="82" spans="1:15" s="17" customFormat="1" ht="38.25">
      <c r="A82" s="16"/>
      <c r="B82" s="70" t="s">
        <v>92</v>
      </c>
      <c r="C82" s="48" t="s">
        <v>96</v>
      </c>
      <c r="D82" s="48" t="s">
        <v>255</v>
      </c>
      <c r="E82" s="42" t="s">
        <v>267</v>
      </c>
      <c r="F82" s="65" t="s">
        <v>281</v>
      </c>
      <c r="G82" s="64">
        <v>285533</v>
      </c>
      <c r="H82" s="95">
        <v>20700</v>
      </c>
      <c r="I82" s="95">
        <v>20800</v>
      </c>
      <c r="J82" s="95">
        <v>20800</v>
      </c>
      <c r="K82" s="95">
        <v>19900</v>
      </c>
      <c r="L82" s="95">
        <v>19900</v>
      </c>
      <c r="M82" s="95">
        <v>23717</v>
      </c>
      <c r="N82" s="81">
        <v>0</v>
      </c>
      <c r="O82" s="58">
        <f t="shared" si="2"/>
        <v>125817</v>
      </c>
    </row>
    <row r="83" spans="1:15" s="17" customFormat="1" ht="51">
      <c r="A83" s="16"/>
      <c r="B83" s="70" t="s">
        <v>93</v>
      </c>
      <c r="C83" s="48" t="s">
        <v>96</v>
      </c>
      <c r="D83" s="48" t="s">
        <v>256</v>
      </c>
      <c r="E83" s="42" t="s">
        <v>268</v>
      </c>
      <c r="F83" s="65" t="s">
        <v>282</v>
      </c>
      <c r="G83" s="64">
        <v>878000</v>
      </c>
      <c r="H83" s="95">
        <v>46700</v>
      </c>
      <c r="I83" s="95">
        <v>46600</v>
      </c>
      <c r="J83" s="95">
        <v>46500</v>
      </c>
      <c r="K83" s="95">
        <v>46400</v>
      </c>
      <c r="L83" s="95">
        <v>46300</v>
      </c>
      <c r="M83" s="95">
        <v>46000</v>
      </c>
      <c r="N83" s="81">
        <f>46000+181238</f>
        <v>227238</v>
      </c>
      <c r="O83" s="58">
        <f t="shared" si="2"/>
        <v>505738</v>
      </c>
    </row>
    <row r="84" spans="1:15" s="17" customFormat="1" ht="51">
      <c r="A84" s="16"/>
      <c r="B84" s="70" t="s">
        <v>94</v>
      </c>
      <c r="C84" s="48" t="s">
        <v>96</v>
      </c>
      <c r="D84" s="48" t="s">
        <v>257</v>
      </c>
      <c r="E84" s="42" t="s">
        <v>269</v>
      </c>
      <c r="F84" s="65" t="s">
        <v>149</v>
      </c>
      <c r="G84" s="64">
        <v>202588</v>
      </c>
      <c r="H84" s="95">
        <v>16510</v>
      </c>
      <c r="I84" s="95">
        <v>16500</v>
      </c>
      <c r="J84" s="95">
        <v>3965</v>
      </c>
      <c r="K84" s="95">
        <v>0</v>
      </c>
      <c r="L84" s="95">
        <v>0</v>
      </c>
      <c r="M84" s="95">
        <v>0</v>
      </c>
      <c r="N84" s="81">
        <v>0</v>
      </c>
      <c r="O84" s="58">
        <f t="shared" si="2"/>
        <v>36975</v>
      </c>
    </row>
    <row r="85" spans="1:15" s="17" customFormat="1" ht="25.5">
      <c r="A85" s="16"/>
      <c r="B85" s="70" t="s">
        <v>95</v>
      </c>
      <c r="C85" s="48" t="s">
        <v>96</v>
      </c>
      <c r="D85" s="48" t="s">
        <v>258</v>
      </c>
      <c r="E85" s="42" t="s">
        <v>270</v>
      </c>
      <c r="F85" s="65" t="s">
        <v>283</v>
      </c>
      <c r="G85" s="64">
        <v>341402</v>
      </c>
      <c r="H85" s="95">
        <v>23650</v>
      </c>
      <c r="I85" s="95">
        <v>23555</v>
      </c>
      <c r="J85" s="95">
        <v>23450</v>
      </c>
      <c r="K85" s="95">
        <v>23300</v>
      </c>
      <c r="L85" s="95">
        <v>23050</v>
      </c>
      <c r="M85" s="95">
        <v>23000</v>
      </c>
      <c r="N85" s="81">
        <f>23000+123296</f>
        <v>146296</v>
      </c>
      <c r="O85" s="58">
        <f t="shared" si="2"/>
        <v>286301</v>
      </c>
    </row>
    <row r="86" spans="1:15" s="17" customFormat="1" ht="38.25">
      <c r="A86" s="16"/>
      <c r="B86" s="70" t="s">
        <v>244</v>
      </c>
      <c r="C86" s="48" t="s">
        <v>96</v>
      </c>
      <c r="D86" s="48" t="s">
        <v>259</v>
      </c>
      <c r="E86" s="42" t="s">
        <v>270</v>
      </c>
      <c r="F86" s="65" t="s">
        <v>284</v>
      </c>
      <c r="G86" s="64">
        <v>631855</v>
      </c>
      <c r="H86" s="95">
        <v>11950</v>
      </c>
      <c r="I86" s="95">
        <v>11900</v>
      </c>
      <c r="J86" s="95">
        <v>11850</v>
      </c>
      <c r="K86" s="95">
        <v>11700</v>
      </c>
      <c r="L86" s="95">
        <v>11650</v>
      </c>
      <c r="M86" s="95">
        <v>11500</v>
      </c>
      <c r="N86" s="81">
        <f>11400+63291</f>
        <v>74691</v>
      </c>
      <c r="O86" s="58">
        <f t="shared" si="2"/>
        <v>145241</v>
      </c>
    </row>
    <row r="87" spans="1:15" s="17" customFormat="1" ht="38.25">
      <c r="A87" s="16"/>
      <c r="B87" s="70" t="s">
        <v>245</v>
      </c>
      <c r="C87" s="48" t="s">
        <v>96</v>
      </c>
      <c r="D87" s="48" t="s">
        <v>260</v>
      </c>
      <c r="E87" s="42" t="s">
        <v>271</v>
      </c>
      <c r="F87" s="65" t="s">
        <v>147</v>
      </c>
      <c r="G87" s="64">
        <v>284293</v>
      </c>
      <c r="H87" s="95">
        <v>15220</v>
      </c>
      <c r="I87" s="95">
        <v>15150</v>
      </c>
      <c r="J87" s="95">
        <v>15100</v>
      </c>
      <c r="K87" s="95">
        <v>15050</v>
      </c>
      <c r="L87" s="95">
        <v>14850</v>
      </c>
      <c r="M87" s="95">
        <v>14800</v>
      </c>
      <c r="N87" s="81">
        <f>14700+95375</f>
        <v>110075</v>
      </c>
      <c r="O87" s="58">
        <f t="shared" si="2"/>
        <v>200245</v>
      </c>
    </row>
    <row r="88" spans="1:15" s="17" customFormat="1" ht="38.25">
      <c r="A88" s="16"/>
      <c r="B88" s="70" t="s">
        <v>246</v>
      </c>
      <c r="C88" s="48" t="s">
        <v>96</v>
      </c>
      <c r="D88" s="48" t="s">
        <v>261</v>
      </c>
      <c r="E88" s="42" t="s">
        <v>272</v>
      </c>
      <c r="F88" s="65" t="s">
        <v>157</v>
      </c>
      <c r="G88" s="64">
        <v>155383</v>
      </c>
      <c r="H88" s="95">
        <v>10350</v>
      </c>
      <c r="I88" s="95">
        <v>10300</v>
      </c>
      <c r="J88" s="95">
        <v>10200</v>
      </c>
      <c r="K88" s="95">
        <v>10150</v>
      </c>
      <c r="L88" s="95">
        <v>10100</v>
      </c>
      <c r="M88" s="95">
        <v>10050</v>
      </c>
      <c r="N88" s="81">
        <f>10000+105053</f>
        <v>115053</v>
      </c>
      <c r="O88" s="58">
        <f t="shared" si="2"/>
        <v>176203</v>
      </c>
    </row>
    <row r="89" spans="1:15" s="17" customFormat="1" ht="25.5">
      <c r="A89" s="16"/>
      <c r="B89" s="70" t="s">
        <v>247</v>
      </c>
      <c r="C89" s="48" t="s">
        <v>96</v>
      </c>
      <c r="D89" s="48" t="s">
        <v>292</v>
      </c>
      <c r="E89" s="42" t="s">
        <v>293</v>
      </c>
      <c r="F89" s="65" t="s">
        <v>300</v>
      </c>
      <c r="G89" s="64">
        <v>124130</v>
      </c>
      <c r="H89" s="95">
        <v>6700</v>
      </c>
      <c r="I89" s="95">
        <v>7100</v>
      </c>
      <c r="J89" s="95">
        <v>7083</v>
      </c>
      <c r="K89" s="95">
        <v>7066</v>
      </c>
      <c r="L89" s="95">
        <v>7049</v>
      </c>
      <c r="M89" s="95">
        <v>7032</v>
      </c>
      <c r="N89" s="81">
        <f>7015+80834</f>
        <v>87849</v>
      </c>
      <c r="O89" s="58">
        <f t="shared" si="2"/>
        <v>129879</v>
      </c>
    </row>
    <row r="90" spans="1:15" s="17" customFormat="1" ht="51">
      <c r="A90" s="16"/>
      <c r="B90" s="70" t="s">
        <v>248</v>
      </c>
      <c r="C90" s="48" t="s">
        <v>96</v>
      </c>
      <c r="D90" s="48" t="s">
        <v>262</v>
      </c>
      <c r="E90" s="42" t="s">
        <v>273</v>
      </c>
      <c r="F90" s="65" t="s">
        <v>137</v>
      </c>
      <c r="G90" s="64">
        <v>272345</v>
      </c>
      <c r="H90" s="95">
        <v>21450</v>
      </c>
      <c r="I90" s="95">
        <v>21450</v>
      </c>
      <c r="J90" s="95">
        <v>21400</v>
      </c>
      <c r="K90" s="95">
        <v>21350</v>
      </c>
      <c r="L90" s="95">
        <v>21300</v>
      </c>
      <c r="M90" s="95">
        <v>21250</v>
      </c>
      <c r="N90" s="81">
        <f>21200+41647</f>
        <v>62847</v>
      </c>
      <c r="O90" s="58">
        <f t="shared" si="2"/>
        <v>191047</v>
      </c>
    </row>
    <row r="91" spans="1:15" s="17" customFormat="1" ht="38.25">
      <c r="A91" s="16"/>
      <c r="B91" s="70" t="s">
        <v>249</v>
      </c>
      <c r="C91" s="48" t="s">
        <v>96</v>
      </c>
      <c r="D91" s="48" t="s">
        <v>263</v>
      </c>
      <c r="E91" s="42" t="s">
        <v>274</v>
      </c>
      <c r="F91" s="65" t="s">
        <v>285</v>
      </c>
      <c r="G91" s="64">
        <v>800000</v>
      </c>
      <c r="H91" s="95">
        <v>30310</v>
      </c>
      <c r="I91" s="95">
        <v>30300</v>
      </c>
      <c r="J91" s="95">
        <v>30250</v>
      </c>
      <c r="K91" s="95">
        <v>30200</v>
      </c>
      <c r="L91" s="95">
        <v>30150</v>
      </c>
      <c r="M91" s="95">
        <v>30100</v>
      </c>
      <c r="N91" s="81">
        <f>30000+35107</f>
        <v>65107</v>
      </c>
      <c r="O91" s="58">
        <f t="shared" si="2"/>
        <v>246417</v>
      </c>
    </row>
    <row r="92" spans="1:15" s="17" customFormat="1" ht="51">
      <c r="A92" s="16"/>
      <c r="B92" s="70" t="s">
        <v>250</v>
      </c>
      <c r="C92" s="48" t="s">
        <v>96</v>
      </c>
      <c r="D92" s="48" t="s">
        <v>330</v>
      </c>
      <c r="E92" s="42" t="s">
        <v>275</v>
      </c>
      <c r="F92" s="65" t="s">
        <v>149</v>
      </c>
      <c r="G92" s="64">
        <v>28000</v>
      </c>
      <c r="H92" s="95">
        <v>665</v>
      </c>
      <c r="I92" s="95">
        <v>655</v>
      </c>
      <c r="J92" s="95">
        <v>650</v>
      </c>
      <c r="K92" s="95">
        <v>0</v>
      </c>
      <c r="L92" s="95">
        <v>0</v>
      </c>
      <c r="M92" s="95">
        <v>0</v>
      </c>
      <c r="N92" s="81">
        <v>0</v>
      </c>
      <c r="O92" s="58">
        <f t="shared" si="2"/>
        <v>1970</v>
      </c>
    </row>
    <row r="93" spans="1:15" s="17" customFormat="1" ht="25.5">
      <c r="A93" s="16"/>
      <c r="B93" s="70" t="s">
        <v>251</v>
      </c>
      <c r="C93" s="48" t="s">
        <v>96</v>
      </c>
      <c r="D93" s="48" t="s">
        <v>264</v>
      </c>
      <c r="E93" s="42" t="s">
        <v>276</v>
      </c>
      <c r="F93" s="65" t="s">
        <v>239</v>
      </c>
      <c r="G93" s="64">
        <v>179465</v>
      </c>
      <c r="H93" s="95">
        <v>23970</v>
      </c>
      <c r="I93" s="95">
        <v>23940</v>
      </c>
      <c r="J93" s="95">
        <v>23900</v>
      </c>
      <c r="K93" s="95">
        <v>23850</v>
      </c>
      <c r="L93" s="95">
        <v>23800</v>
      </c>
      <c r="M93" s="95">
        <v>23750</v>
      </c>
      <c r="N93" s="81">
        <f>23700+246704</f>
        <v>270404</v>
      </c>
      <c r="O93" s="58">
        <f aca="true" t="shared" si="3" ref="O93:O100">SUM(H93:N93)</f>
        <v>413614</v>
      </c>
    </row>
    <row r="94" spans="1:15" s="17" customFormat="1" ht="63.75">
      <c r="A94" s="16"/>
      <c r="B94" s="70" t="s">
        <v>252</v>
      </c>
      <c r="C94" s="74" t="s">
        <v>96</v>
      </c>
      <c r="D94" s="74" t="s">
        <v>359</v>
      </c>
      <c r="E94" s="75" t="s">
        <v>276</v>
      </c>
      <c r="F94" s="76" t="s">
        <v>239</v>
      </c>
      <c r="G94" s="77">
        <v>337066</v>
      </c>
      <c r="H94" s="95">
        <v>14950</v>
      </c>
      <c r="I94" s="95">
        <v>14900</v>
      </c>
      <c r="J94" s="95">
        <v>14850</v>
      </c>
      <c r="K94" s="95">
        <v>14790</v>
      </c>
      <c r="L94" s="95">
        <v>14750</v>
      </c>
      <c r="M94" s="95">
        <v>14720</v>
      </c>
      <c r="N94" s="78">
        <f>14700+113562</f>
        <v>128262</v>
      </c>
      <c r="O94" s="88">
        <f t="shared" si="3"/>
        <v>217222</v>
      </c>
    </row>
    <row r="95" spans="1:15" s="17" customFormat="1" ht="25.5">
      <c r="A95" s="16"/>
      <c r="B95" s="70" t="s">
        <v>311</v>
      </c>
      <c r="C95" s="48" t="s">
        <v>96</v>
      </c>
      <c r="D95" s="83" t="s">
        <v>360</v>
      </c>
      <c r="E95" s="84" t="s">
        <v>317</v>
      </c>
      <c r="F95" s="65" t="s">
        <v>323</v>
      </c>
      <c r="G95" s="64">
        <v>426783</v>
      </c>
      <c r="H95" s="95">
        <v>5138</v>
      </c>
      <c r="I95" s="95">
        <v>41508</v>
      </c>
      <c r="J95" s="95">
        <v>40480</v>
      </c>
      <c r="K95" s="95">
        <v>39452</v>
      </c>
      <c r="L95" s="95">
        <v>38424</v>
      </c>
      <c r="M95" s="95">
        <v>37397</v>
      </c>
      <c r="N95" s="57">
        <f>36369+401261</f>
        <v>437630</v>
      </c>
      <c r="O95" s="88">
        <f t="shared" si="3"/>
        <v>640029</v>
      </c>
    </row>
    <row r="96" spans="1:15" s="17" customFormat="1" ht="38.25">
      <c r="A96" s="16"/>
      <c r="B96" s="70" t="s">
        <v>312</v>
      </c>
      <c r="C96" s="48" t="s">
        <v>96</v>
      </c>
      <c r="D96" s="83" t="s">
        <v>361</v>
      </c>
      <c r="E96" s="84" t="s">
        <v>316</v>
      </c>
      <c r="F96" s="65" t="s">
        <v>324</v>
      </c>
      <c r="G96" s="64">
        <v>328724</v>
      </c>
      <c r="H96" s="95">
        <v>3138</v>
      </c>
      <c r="I96" s="95">
        <v>31705</v>
      </c>
      <c r="J96" s="95">
        <v>35058</v>
      </c>
      <c r="K96" s="95">
        <v>34082</v>
      </c>
      <c r="L96" s="95">
        <v>33102</v>
      </c>
      <c r="M96" s="95">
        <v>32163</v>
      </c>
      <c r="N96" s="57">
        <f>31142+328988</f>
        <v>360130</v>
      </c>
      <c r="O96" s="88">
        <f t="shared" si="3"/>
        <v>529378</v>
      </c>
    </row>
    <row r="97" spans="1:15" s="17" customFormat="1" ht="38.25">
      <c r="A97" s="16"/>
      <c r="B97" s="70" t="s">
        <v>318</v>
      </c>
      <c r="C97" s="48" t="s">
        <v>96</v>
      </c>
      <c r="D97" s="83" t="s">
        <v>362</v>
      </c>
      <c r="E97" s="84" t="s">
        <v>316</v>
      </c>
      <c r="F97" s="65" t="s">
        <v>325</v>
      </c>
      <c r="G97" s="64">
        <v>175583</v>
      </c>
      <c r="H97" s="95">
        <v>1515</v>
      </c>
      <c r="I97" s="95">
        <v>23027</v>
      </c>
      <c r="J97" s="95">
        <v>26821</v>
      </c>
      <c r="K97" s="95">
        <v>25853</v>
      </c>
      <c r="L97" s="95">
        <v>24882</v>
      </c>
      <c r="M97" s="95">
        <v>23924</v>
      </c>
      <c r="N97" s="57">
        <f>22939+77389</f>
        <v>100328</v>
      </c>
      <c r="O97" s="88">
        <f t="shared" si="3"/>
        <v>226350</v>
      </c>
    </row>
    <row r="98" spans="1:15" s="17" customFormat="1" ht="25.5">
      <c r="A98" s="16"/>
      <c r="B98" s="70" t="s">
        <v>319</v>
      </c>
      <c r="C98" s="48" t="s">
        <v>96</v>
      </c>
      <c r="D98" s="83" t="s">
        <v>322</v>
      </c>
      <c r="E98" s="84" t="s">
        <v>317</v>
      </c>
      <c r="F98" s="65" t="s">
        <v>326</v>
      </c>
      <c r="G98" s="64">
        <v>160353</v>
      </c>
      <c r="H98" s="95">
        <v>1810</v>
      </c>
      <c r="I98" s="95">
        <v>23005</v>
      </c>
      <c r="J98" s="95">
        <v>22281</v>
      </c>
      <c r="K98" s="95">
        <v>21557</v>
      </c>
      <c r="L98" s="95">
        <v>20833</v>
      </c>
      <c r="M98" s="95">
        <v>20109</v>
      </c>
      <c r="N98" s="57">
        <f>19385+70297</f>
        <v>89682</v>
      </c>
      <c r="O98" s="88">
        <f t="shared" si="3"/>
        <v>199277</v>
      </c>
    </row>
    <row r="99" spans="1:15" s="17" customFormat="1" ht="38.25">
      <c r="A99" s="16"/>
      <c r="B99" s="70" t="s">
        <v>320</v>
      </c>
      <c r="C99" s="89" t="s">
        <v>96</v>
      </c>
      <c r="D99" s="89" t="s">
        <v>313</v>
      </c>
      <c r="E99" s="90" t="s">
        <v>310</v>
      </c>
      <c r="F99" s="91" t="s">
        <v>314</v>
      </c>
      <c r="G99" s="92">
        <v>146757</v>
      </c>
      <c r="H99" s="95">
        <v>4728</v>
      </c>
      <c r="I99" s="95">
        <v>14994</v>
      </c>
      <c r="J99" s="95">
        <v>15629</v>
      </c>
      <c r="K99" s="95">
        <v>15181</v>
      </c>
      <c r="L99" s="95">
        <v>14732</v>
      </c>
      <c r="M99" s="95">
        <v>14301</v>
      </c>
      <c r="N99" s="93">
        <f>13834+139072</f>
        <v>152906</v>
      </c>
      <c r="O99" s="94">
        <f t="shared" si="3"/>
        <v>232471</v>
      </c>
    </row>
    <row r="100" spans="1:15" s="17" customFormat="1" ht="38.25">
      <c r="A100" s="16"/>
      <c r="B100" s="70" t="s">
        <v>321</v>
      </c>
      <c r="C100" s="85" t="s">
        <v>96</v>
      </c>
      <c r="D100" s="85" t="s">
        <v>315</v>
      </c>
      <c r="E100" s="84" t="s">
        <v>310</v>
      </c>
      <c r="F100" s="86" t="s">
        <v>314</v>
      </c>
      <c r="G100" s="87">
        <v>285180</v>
      </c>
      <c r="H100" s="95">
        <v>11563</v>
      </c>
      <c r="I100" s="95">
        <v>30665</v>
      </c>
      <c r="J100" s="95">
        <v>30370</v>
      </c>
      <c r="K100" s="95">
        <v>29500</v>
      </c>
      <c r="L100" s="95">
        <v>28628</v>
      </c>
      <c r="M100" s="95">
        <v>27790</v>
      </c>
      <c r="N100" s="81">
        <f>26882+270226</f>
        <v>297108</v>
      </c>
      <c r="O100" s="58">
        <f t="shared" si="3"/>
        <v>455624</v>
      </c>
    </row>
    <row r="101" spans="1:15" s="17" customFormat="1" ht="12.75">
      <c r="A101" s="16"/>
      <c r="B101" s="73"/>
      <c r="C101" s="74"/>
      <c r="D101" s="74"/>
      <c r="E101" s="75"/>
      <c r="F101" s="76"/>
      <c r="G101" s="77"/>
      <c r="H101" s="96"/>
      <c r="I101" s="96"/>
      <c r="J101" s="96"/>
      <c r="K101" s="96"/>
      <c r="L101" s="96"/>
      <c r="M101" s="96"/>
      <c r="N101" s="96"/>
      <c r="O101" s="96"/>
    </row>
    <row r="102" spans="1:15" s="10" customFormat="1" ht="15.75">
      <c r="A102" s="9"/>
      <c r="B102" s="42"/>
      <c r="C102" s="43" t="s">
        <v>9</v>
      </c>
      <c r="D102" s="42" t="s">
        <v>3</v>
      </c>
      <c r="E102" s="42" t="s">
        <v>3</v>
      </c>
      <c r="F102" s="63" t="s">
        <v>3</v>
      </c>
      <c r="G102" s="42" t="s">
        <v>3</v>
      </c>
      <c r="H102" s="58">
        <f aca="true" t="shared" si="4" ref="H102:O102">SUM(H11:H100)</f>
        <v>1615257</v>
      </c>
      <c r="I102" s="58">
        <f t="shared" si="4"/>
        <v>1896113</v>
      </c>
      <c r="J102" s="58">
        <f t="shared" si="4"/>
        <v>1819327</v>
      </c>
      <c r="K102" s="58">
        <f t="shared" si="4"/>
        <v>1716116</v>
      </c>
      <c r="L102" s="58">
        <f t="shared" si="4"/>
        <v>1586007</v>
      </c>
      <c r="M102" s="58">
        <f t="shared" si="4"/>
        <v>1415382</v>
      </c>
      <c r="N102" s="58">
        <f t="shared" si="4"/>
        <v>9922753</v>
      </c>
      <c r="O102" s="58">
        <f t="shared" si="4"/>
        <v>19970955</v>
      </c>
    </row>
    <row r="103" spans="1:15" s="19" customFormat="1" ht="15.75">
      <c r="A103" s="18"/>
      <c r="B103" s="79"/>
      <c r="C103" s="44"/>
      <c r="D103" s="44"/>
      <c r="E103" s="44"/>
      <c r="F103" s="44"/>
      <c r="G103" s="44"/>
      <c r="H103" s="67"/>
      <c r="I103" s="67"/>
      <c r="J103" s="67"/>
      <c r="K103" s="67"/>
      <c r="L103" s="67"/>
      <c r="M103" s="67"/>
      <c r="N103" s="67"/>
      <c r="O103" s="67"/>
    </row>
    <row r="104" spans="1:15" s="19" customFormat="1" ht="15.75">
      <c r="A104" s="18"/>
      <c r="B104" s="80"/>
      <c r="C104" s="55" t="s">
        <v>15</v>
      </c>
      <c r="D104" s="45"/>
      <c r="E104" s="45"/>
      <c r="F104" s="45"/>
      <c r="G104" s="45"/>
      <c r="H104" s="46"/>
      <c r="I104" s="46"/>
      <c r="J104" s="46"/>
      <c r="K104" s="46"/>
      <c r="L104" s="46"/>
      <c r="M104" s="46"/>
      <c r="N104" s="46"/>
      <c r="O104" s="47"/>
    </row>
    <row r="105" spans="1:15" s="19" customFormat="1" ht="25.5">
      <c r="A105" s="18"/>
      <c r="B105" s="42" t="s">
        <v>25</v>
      </c>
      <c r="C105" s="48" t="s">
        <v>217</v>
      </c>
      <c r="D105" s="48" t="s">
        <v>218</v>
      </c>
      <c r="E105" s="42" t="s">
        <v>219</v>
      </c>
      <c r="F105" s="59" t="s">
        <v>220</v>
      </c>
      <c r="G105" s="60">
        <v>130930</v>
      </c>
      <c r="H105" s="95">
        <v>10240</v>
      </c>
      <c r="I105" s="95">
        <v>10040</v>
      </c>
      <c r="J105" s="95">
        <v>9840</v>
      </c>
      <c r="K105" s="95">
        <v>8358</v>
      </c>
      <c r="L105" s="95">
        <v>6860</v>
      </c>
      <c r="M105" s="81">
        <v>0</v>
      </c>
      <c r="N105" s="81">
        <v>0</v>
      </c>
      <c r="O105" s="58">
        <f>SUM(H105:N105)</f>
        <v>45338</v>
      </c>
    </row>
    <row r="106" spans="1:15" s="19" customFormat="1" ht="15.75">
      <c r="A106" s="18"/>
      <c r="B106" s="42" t="s">
        <v>26</v>
      </c>
      <c r="C106" s="48" t="s">
        <v>221</v>
      </c>
      <c r="D106" s="48" t="s">
        <v>222</v>
      </c>
      <c r="E106" s="42" t="s">
        <v>223</v>
      </c>
      <c r="F106" s="59" t="s">
        <v>224</v>
      </c>
      <c r="G106" s="60">
        <v>2846</v>
      </c>
      <c r="H106" s="81">
        <v>344</v>
      </c>
      <c r="I106" s="81">
        <v>137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58">
        <f aca="true" t="shared" si="5" ref="O106:O112">SUM(H106:N106)</f>
        <v>481</v>
      </c>
    </row>
    <row r="107" spans="1:15" s="19" customFormat="1" ht="15.75">
      <c r="A107" s="18"/>
      <c r="B107" s="42" t="s">
        <v>27</v>
      </c>
      <c r="C107" s="48" t="s">
        <v>225</v>
      </c>
      <c r="D107" s="48" t="s">
        <v>222</v>
      </c>
      <c r="E107" s="42" t="s">
        <v>226</v>
      </c>
      <c r="F107" s="59" t="s">
        <v>227</v>
      </c>
      <c r="G107" s="60">
        <v>2988</v>
      </c>
      <c r="H107" s="81">
        <v>341</v>
      </c>
      <c r="I107" s="81">
        <v>341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58">
        <f t="shared" si="5"/>
        <v>682</v>
      </c>
    </row>
    <row r="108" spans="1:15" s="19" customFormat="1" ht="15.75">
      <c r="A108" s="18"/>
      <c r="B108" s="42" t="s">
        <v>28</v>
      </c>
      <c r="C108" s="48" t="s">
        <v>225</v>
      </c>
      <c r="D108" s="48" t="s">
        <v>222</v>
      </c>
      <c r="E108" s="42" t="s">
        <v>228</v>
      </c>
      <c r="F108" s="59" t="s">
        <v>229</v>
      </c>
      <c r="G108" s="60">
        <v>2846</v>
      </c>
      <c r="H108" s="81">
        <v>322</v>
      </c>
      <c r="I108" s="81">
        <v>322</v>
      </c>
      <c r="J108" s="81">
        <v>252</v>
      </c>
      <c r="K108" s="81">
        <v>0</v>
      </c>
      <c r="L108" s="81">
        <v>0</v>
      </c>
      <c r="M108" s="81">
        <v>0</v>
      </c>
      <c r="N108" s="81">
        <v>0</v>
      </c>
      <c r="O108" s="58">
        <f t="shared" si="5"/>
        <v>896</v>
      </c>
    </row>
    <row r="109" spans="1:15" s="19" customFormat="1" ht="38.25">
      <c r="A109" s="18"/>
      <c r="B109" s="42" t="s">
        <v>29</v>
      </c>
      <c r="C109" s="48" t="s">
        <v>96</v>
      </c>
      <c r="D109" s="48" t="s">
        <v>230</v>
      </c>
      <c r="E109" s="42" t="s">
        <v>231</v>
      </c>
      <c r="F109" s="59" t="s">
        <v>232</v>
      </c>
      <c r="G109" s="60">
        <v>54523</v>
      </c>
      <c r="H109" s="95">
        <v>3544</v>
      </c>
      <c r="I109" s="95">
        <v>3982</v>
      </c>
      <c r="J109" s="95">
        <v>3855</v>
      </c>
      <c r="K109" s="95">
        <v>3731</v>
      </c>
      <c r="L109" s="95">
        <v>3607</v>
      </c>
      <c r="M109" s="95">
        <v>3485</v>
      </c>
      <c r="N109" s="81">
        <f>3359+12904</f>
        <v>16263</v>
      </c>
      <c r="O109" s="58">
        <f t="shared" si="5"/>
        <v>38467</v>
      </c>
    </row>
    <row r="110" spans="1:15" s="19" customFormat="1" ht="25.5">
      <c r="A110" s="18"/>
      <c r="B110" s="42" t="s">
        <v>30</v>
      </c>
      <c r="C110" s="83" t="s">
        <v>96</v>
      </c>
      <c r="D110" s="83" t="s">
        <v>307</v>
      </c>
      <c r="E110" s="84" t="s">
        <v>308</v>
      </c>
      <c r="F110" s="59" t="s">
        <v>309</v>
      </c>
      <c r="G110" s="60">
        <v>100000</v>
      </c>
      <c r="H110" s="95">
        <v>63873</v>
      </c>
      <c r="I110" s="95">
        <v>60685</v>
      </c>
      <c r="J110" s="95">
        <v>124</v>
      </c>
      <c r="K110" s="81">
        <v>0</v>
      </c>
      <c r="L110" s="81">
        <v>0</v>
      </c>
      <c r="M110" s="81">
        <v>0</v>
      </c>
      <c r="N110" s="81">
        <v>0</v>
      </c>
      <c r="O110" s="58">
        <f t="shared" si="5"/>
        <v>124682</v>
      </c>
    </row>
    <row r="111" spans="1:15" s="19" customFormat="1" ht="38.25">
      <c r="A111" s="18"/>
      <c r="B111" s="42" t="s">
        <v>31</v>
      </c>
      <c r="C111" s="48" t="s">
        <v>96</v>
      </c>
      <c r="D111" s="48" t="s">
        <v>364</v>
      </c>
      <c r="E111" s="42" t="s">
        <v>233</v>
      </c>
      <c r="F111" s="59" t="s">
        <v>234</v>
      </c>
      <c r="G111" s="60">
        <v>742956</v>
      </c>
      <c r="H111" s="95">
        <v>27801</v>
      </c>
      <c r="I111" s="95">
        <v>35786</v>
      </c>
      <c r="J111" s="95">
        <v>35274</v>
      </c>
      <c r="K111" s="95">
        <v>34794</v>
      </c>
      <c r="L111" s="95">
        <v>34313</v>
      </c>
      <c r="M111" s="95">
        <v>33858</v>
      </c>
      <c r="N111" s="81">
        <f>33350+536372</f>
        <v>569722</v>
      </c>
      <c r="O111" s="58">
        <f t="shared" si="5"/>
        <v>771548</v>
      </c>
    </row>
    <row r="112" spans="1:15" s="19" customFormat="1" ht="15.75">
      <c r="A112" s="18"/>
      <c r="B112" s="42" t="s">
        <v>32</v>
      </c>
      <c r="C112" s="48" t="s">
        <v>235</v>
      </c>
      <c r="D112" s="48" t="s">
        <v>236</v>
      </c>
      <c r="E112" s="42" t="s">
        <v>237</v>
      </c>
      <c r="F112" s="59" t="s">
        <v>238</v>
      </c>
      <c r="G112" s="60">
        <v>284574</v>
      </c>
      <c r="H112" s="81">
        <v>12646</v>
      </c>
      <c r="I112" s="81">
        <v>12646</v>
      </c>
      <c r="J112" s="81">
        <v>12646</v>
      </c>
      <c r="K112" s="81">
        <v>12646</v>
      </c>
      <c r="L112" s="81">
        <v>12646</v>
      </c>
      <c r="M112" s="81">
        <v>12646</v>
      </c>
      <c r="N112" s="81">
        <v>158110</v>
      </c>
      <c r="O112" s="58">
        <f t="shared" si="5"/>
        <v>233986</v>
      </c>
    </row>
    <row r="113" spans="1:15" s="19" customFormat="1" ht="25.5">
      <c r="A113" s="18"/>
      <c r="B113" s="42" t="s">
        <v>33</v>
      </c>
      <c r="C113" s="48" t="s">
        <v>217</v>
      </c>
      <c r="D113" s="48" t="s">
        <v>363</v>
      </c>
      <c r="E113" s="42" t="s">
        <v>219</v>
      </c>
      <c r="F113" s="59" t="s">
        <v>277</v>
      </c>
      <c r="G113" s="60">
        <v>61726</v>
      </c>
      <c r="H113" s="95">
        <v>3630</v>
      </c>
      <c r="I113" s="95">
        <v>3630</v>
      </c>
      <c r="J113" s="95">
        <v>3630</v>
      </c>
      <c r="K113" s="95">
        <v>3626</v>
      </c>
      <c r="L113" s="81">
        <v>0</v>
      </c>
      <c r="M113" s="81">
        <v>0</v>
      </c>
      <c r="N113" s="81">
        <v>0</v>
      </c>
      <c r="O113" s="58">
        <f>SUM(H113:N113)</f>
        <v>14516</v>
      </c>
    </row>
    <row r="114" spans="1:15" s="19" customFormat="1" ht="15.75">
      <c r="A114" s="18"/>
      <c r="B114" s="42"/>
      <c r="C114" s="48"/>
      <c r="D114" s="48"/>
      <c r="E114" s="42"/>
      <c r="F114" s="59"/>
      <c r="G114" s="60"/>
      <c r="H114" s="57"/>
      <c r="I114" s="57"/>
      <c r="J114" s="57"/>
      <c r="K114" s="57"/>
      <c r="L114" s="57"/>
      <c r="M114" s="57"/>
      <c r="N114" s="57"/>
      <c r="O114" s="58"/>
    </row>
    <row r="115" spans="1:15" s="10" customFormat="1" ht="15.75">
      <c r="A115" s="9"/>
      <c r="B115" s="42"/>
      <c r="C115" s="49" t="s">
        <v>9</v>
      </c>
      <c r="D115" s="42" t="s">
        <v>3</v>
      </c>
      <c r="E115" s="42" t="s">
        <v>3</v>
      </c>
      <c r="F115" s="42" t="s">
        <v>3</v>
      </c>
      <c r="G115" s="42" t="s">
        <v>3</v>
      </c>
      <c r="H115" s="58">
        <f>SUM(H105:H113)</f>
        <v>122741</v>
      </c>
      <c r="I115" s="58">
        <f aca="true" t="shared" si="6" ref="I115:N115">SUM(I105:I113)</f>
        <v>127569</v>
      </c>
      <c r="J115" s="58">
        <f t="shared" si="6"/>
        <v>65621</v>
      </c>
      <c r="K115" s="58">
        <f t="shared" si="6"/>
        <v>63155</v>
      </c>
      <c r="L115" s="58">
        <f t="shared" si="6"/>
        <v>57426</v>
      </c>
      <c r="M115" s="58">
        <f t="shared" si="6"/>
        <v>49989</v>
      </c>
      <c r="N115" s="58">
        <f t="shared" si="6"/>
        <v>744095</v>
      </c>
      <c r="O115" s="58">
        <f>SUM(O105:O113)</f>
        <v>1230596</v>
      </c>
    </row>
    <row r="116" spans="1:15" s="10" customFormat="1" ht="15.75">
      <c r="A116" s="9"/>
      <c r="B116" s="20"/>
      <c r="C116" s="62"/>
      <c r="D116" s="62"/>
      <c r="E116" s="62"/>
      <c r="F116" s="62"/>
      <c r="G116" s="62"/>
      <c r="H116" s="67"/>
      <c r="I116" s="67"/>
      <c r="J116" s="67"/>
      <c r="K116" s="67"/>
      <c r="L116" s="67"/>
      <c r="M116" s="67"/>
      <c r="N116" s="67"/>
      <c r="O116" s="67"/>
    </row>
    <row r="117" spans="1:15" s="10" customFormat="1" ht="15.75">
      <c r="A117" s="9"/>
      <c r="B117" s="21"/>
      <c r="C117" s="50" t="s">
        <v>16</v>
      </c>
      <c r="D117" s="40" t="s">
        <v>3</v>
      </c>
      <c r="E117" s="40" t="s">
        <v>3</v>
      </c>
      <c r="F117" s="40" t="s">
        <v>3</v>
      </c>
      <c r="G117" s="40" t="s">
        <v>3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41">
        <f>SUM(H117:N117)</f>
        <v>0</v>
      </c>
    </row>
    <row r="118" spans="1:15" s="10" customFormat="1" ht="15.75">
      <c r="A118" s="9"/>
      <c r="B118" s="21"/>
      <c r="C118" s="50"/>
      <c r="D118" s="50"/>
      <c r="E118" s="50"/>
      <c r="F118" s="50"/>
      <c r="G118" s="50"/>
      <c r="H118" s="96"/>
      <c r="I118" s="96"/>
      <c r="J118" s="96"/>
      <c r="K118" s="96"/>
      <c r="L118" s="96"/>
      <c r="M118" s="96"/>
      <c r="N118" s="96"/>
      <c r="O118" s="96"/>
    </row>
    <row r="119" spans="1:15" s="10" customFormat="1" ht="15.75">
      <c r="A119" s="9"/>
      <c r="B119" s="21"/>
      <c r="C119" s="50" t="s">
        <v>17</v>
      </c>
      <c r="D119" s="51"/>
      <c r="E119" s="51"/>
      <c r="F119" s="51"/>
      <c r="G119" s="51"/>
      <c r="H119" s="41">
        <f aca="true" t="shared" si="7" ref="H119:N119">H102+H115</f>
        <v>1737998</v>
      </c>
      <c r="I119" s="41">
        <f t="shared" si="7"/>
        <v>2023682</v>
      </c>
      <c r="J119" s="41">
        <f t="shared" si="7"/>
        <v>1884948</v>
      </c>
      <c r="K119" s="41">
        <f t="shared" si="7"/>
        <v>1779271</v>
      </c>
      <c r="L119" s="41">
        <f t="shared" si="7"/>
        <v>1643433</v>
      </c>
      <c r="M119" s="41">
        <f t="shared" si="7"/>
        <v>1465371</v>
      </c>
      <c r="N119" s="41">
        <f t="shared" si="7"/>
        <v>10666848</v>
      </c>
      <c r="O119" s="41">
        <f>SUM(H119:N119)</f>
        <v>21201551</v>
      </c>
    </row>
    <row r="120" spans="1:15" s="10" customFormat="1" ht="15.75">
      <c r="A120" s="9"/>
      <c r="B120" s="21"/>
      <c r="C120" s="49"/>
      <c r="D120" s="49"/>
      <c r="E120" s="49"/>
      <c r="F120" s="49"/>
      <c r="G120" s="49"/>
      <c r="H120" s="61"/>
      <c r="I120" s="61"/>
      <c r="J120" s="61"/>
      <c r="K120" s="61"/>
      <c r="L120" s="61"/>
      <c r="M120" s="61"/>
      <c r="N120" s="61"/>
      <c r="O120" s="61"/>
    </row>
    <row r="121" spans="1:15" s="10" customFormat="1" ht="18.75" customHeight="1">
      <c r="A121" s="9"/>
      <c r="B121" s="21"/>
      <c r="C121" s="104" t="s">
        <v>18</v>
      </c>
      <c r="D121" s="104"/>
      <c r="E121" s="104"/>
      <c r="F121" s="48"/>
      <c r="G121" s="48"/>
      <c r="H121" s="52">
        <f>H119/O123*100</f>
        <v>5.094100424062366</v>
      </c>
      <c r="I121" s="52">
        <f>I119/O123*100</f>
        <v>5.931444877593287</v>
      </c>
      <c r="J121" s="52">
        <f>J119/O123*100</f>
        <v>5.524813265685868</v>
      </c>
      <c r="K121" s="52">
        <f>K119/O123*100</f>
        <v>5.2150722587838825</v>
      </c>
      <c r="L121" s="52">
        <f>L119/O123*100</f>
        <v>4.8169288700091055</v>
      </c>
      <c r="M121" s="52">
        <f>M119/O123*100</f>
        <v>4.2950262500352085</v>
      </c>
      <c r="N121" s="52" t="s">
        <v>35</v>
      </c>
      <c r="O121" s="53" t="s">
        <v>35</v>
      </c>
    </row>
    <row r="122" spans="1:15" s="10" customFormat="1" ht="15.75">
      <c r="A122" s="9"/>
      <c r="B122" s="22"/>
      <c r="C122" s="23"/>
      <c r="D122" s="24"/>
      <c r="E122" s="24"/>
      <c r="F122" s="24"/>
      <c r="G122" s="24"/>
      <c r="H122" s="67">
        <f aca="true" t="shared" si="8" ref="H122:N122">H119</f>
        <v>1737998</v>
      </c>
      <c r="I122" s="67">
        <f t="shared" si="8"/>
        <v>2023682</v>
      </c>
      <c r="J122" s="67">
        <f t="shared" si="8"/>
        <v>1884948</v>
      </c>
      <c r="K122" s="67">
        <f t="shared" si="8"/>
        <v>1779271</v>
      </c>
      <c r="L122" s="67">
        <f t="shared" si="8"/>
        <v>1643433</v>
      </c>
      <c r="M122" s="67">
        <f t="shared" si="8"/>
        <v>1465371</v>
      </c>
      <c r="N122" s="67">
        <f t="shared" si="8"/>
        <v>10666848</v>
      </c>
      <c r="O122" s="67">
        <f>SUM(H122:N122)</f>
        <v>21201551</v>
      </c>
    </row>
    <row r="123" spans="1:15" s="10" customFormat="1" ht="48" customHeight="1">
      <c r="A123" s="9"/>
      <c r="B123" s="22"/>
      <c r="C123" s="97" t="s">
        <v>19</v>
      </c>
      <c r="D123" s="97"/>
      <c r="E123" s="97"/>
      <c r="F123" s="56"/>
      <c r="G123" s="56"/>
      <c r="H123" s="25"/>
      <c r="I123" s="25"/>
      <c r="J123" s="25"/>
      <c r="K123" s="25"/>
      <c r="L123" s="25"/>
      <c r="M123" s="25"/>
      <c r="N123" s="25"/>
      <c r="O123" s="82">
        <f>47928261-13810402</f>
        <v>34117859</v>
      </c>
    </row>
    <row r="124" spans="1:15" s="10" customFormat="1" ht="15.75">
      <c r="A124" s="9"/>
      <c r="B124" s="26"/>
      <c r="C124" s="27"/>
      <c r="D124" s="28"/>
      <c r="E124" s="28"/>
      <c r="F124" s="28"/>
      <c r="G124" s="28"/>
      <c r="H124" s="29"/>
      <c r="I124" s="29"/>
      <c r="J124" s="29"/>
      <c r="K124" s="29"/>
      <c r="L124" s="29"/>
      <c r="M124" s="29"/>
      <c r="N124" s="29"/>
      <c r="O124" s="30"/>
    </row>
    <row r="126" spans="1:7" s="5" customFormat="1" ht="15">
      <c r="A126" s="66"/>
      <c r="B126" s="69"/>
      <c r="D126" s="69"/>
      <c r="E126" s="69"/>
      <c r="F126" s="4"/>
      <c r="G126" s="4"/>
    </row>
    <row r="127" spans="1:7" s="5" customFormat="1" ht="12.75">
      <c r="A127" s="6"/>
      <c r="B127" s="99"/>
      <c r="C127" s="99"/>
      <c r="D127" s="99"/>
      <c r="E127" s="6"/>
      <c r="F127" s="6"/>
      <c r="G127" s="6"/>
    </row>
    <row r="128" spans="2:7" s="3" customFormat="1" ht="12.75">
      <c r="B128" s="7"/>
      <c r="C128" s="8"/>
      <c r="D128" s="8"/>
      <c r="E128" s="8"/>
      <c r="F128" s="8"/>
      <c r="G128" s="8"/>
    </row>
    <row r="129" spans="1:7" s="3" customFormat="1" ht="12.75">
      <c r="A129" s="6"/>
      <c r="B129" s="99"/>
      <c r="C129" s="99"/>
      <c r="D129" s="99"/>
      <c r="E129" s="99"/>
      <c r="F129" s="6"/>
      <c r="G129" s="6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  <row r="132" spans="2:7" s="3" customFormat="1" ht="12.75">
      <c r="B132" s="7"/>
      <c r="C132" s="8"/>
      <c r="D132" s="8"/>
      <c r="E132" s="8"/>
      <c r="F132" s="8"/>
      <c r="G132" s="8"/>
    </row>
  </sheetData>
  <sheetProtection selectLockedCells="1" selectUnlockedCells="1"/>
  <mergeCells count="15">
    <mergeCell ref="H6:O6"/>
    <mergeCell ref="C1:O1"/>
    <mergeCell ref="B2:O2"/>
    <mergeCell ref="B3:O3"/>
    <mergeCell ref="C4:O4"/>
    <mergeCell ref="C121:E121"/>
    <mergeCell ref="F6:F7"/>
    <mergeCell ref="G6:G7"/>
    <mergeCell ref="C123:E123"/>
    <mergeCell ref="B6:B7"/>
    <mergeCell ref="C6:C7"/>
    <mergeCell ref="B127:D127"/>
    <mergeCell ref="B129:E129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Uldis Ervalds</cp:lastModifiedBy>
  <cp:lastPrinted>2023-09-11T07:40:31Z</cp:lastPrinted>
  <dcterms:created xsi:type="dcterms:W3CDTF">2017-08-07T06:38:07Z</dcterms:created>
  <dcterms:modified xsi:type="dcterms:W3CDTF">2023-10-24T10:26:06Z</dcterms:modified>
  <cp:category/>
  <cp:version/>
  <cp:contentType/>
  <cp:contentStatus/>
</cp:coreProperties>
</file>