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80" windowHeight="13200" activeTab="4"/>
  </bookViews>
  <sheets>
    <sheet name="1.pielikums" sheetId="1" r:id="rId1"/>
    <sheet name="2.pielikums" sheetId="2" r:id="rId2"/>
    <sheet name="3.pielikums" sheetId="3" r:id="rId3"/>
    <sheet name="4.pielikums" sheetId="4" r:id="rId4"/>
    <sheet name="5.pielikums" sheetId="5" r:id="rId5"/>
  </sheet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'4.pielikums'!$7:$7</definedName>
    <definedName name="_xlnm.Print_Titles" localSheetId="4">'5.pielikums'!$A:$A,'5.pielikums'!$5:$6</definedName>
  </definedNames>
  <calcPr fullCalcOnLoad="1"/>
</workbook>
</file>

<file path=xl/sharedStrings.xml><?xml version="1.0" encoding="utf-8"?>
<sst xmlns="http://schemas.openxmlformats.org/spreadsheetml/2006/main" count="1859" uniqueCount="1015">
  <si>
    <t>Pamatbudžeta ieņēmumi</t>
  </si>
  <si>
    <t>Klasifikā-cijas kods</t>
  </si>
  <si>
    <t>Rādītāju nosaukums</t>
  </si>
  <si>
    <t>I. IEŅĒMUMI KOPĀ (1+2+3+4)</t>
  </si>
  <si>
    <t>1. Nodokļu ieņēmumi</t>
  </si>
  <si>
    <t>01.100.</t>
  </si>
  <si>
    <t>Ieņēmumi no iedzīvotāju ienākuma nodokļa</t>
  </si>
  <si>
    <t>01.111.</t>
  </si>
  <si>
    <t>01.112.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</si>
  <si>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</si>
  <si>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</si>
  <si>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</si>
  <si>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</si>
  <si>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</si>
  <si>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</si>
  <si>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</si>
  <si>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</si>
  <si>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</si>
  <si>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</si>
  <si>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05.530.</t>
  </si>
  <si>
    <t>Dabas resursu nodoklis</t>
  </si>
  <si>
    <t>2. Nenodokļu ieņēmumi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</si>
  <si>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</si>
  <si>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</si>
  <si>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</si>
  <si>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</si>
  <si>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</si>
  <si>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</si>
  <si>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</si>
  <si>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</si>
  <si>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</si>
  <si>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</si>
  <si>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</si>
  <si>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</si>
  <si>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</si>
  <si>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Pašvaldības nodeva par domes izstrādāto oficiālo dokumentu un apliecinātu to kopiju saņemšanu</t>
  </si>
  <si>
    <t>09.512.</t>
  </si>
  <si>
    <t>Pašvaldības nodeva par izklaidējoša rakstura pasākumu sarīkošanu publiskās vietās</t>
  </si>
  <si>
    <t>09.514.</t>
  </si>
  <si>
    <t>Pašvaldības nodeva par tirdzniecību publiskās vietās</t>
  </si>
  <si>
    <t>09.515.</t>
  </si>
  <si>
    <t>Pašvaldības nodeva par dzīvnieku turēšanu</t>
  </si>
  <si>
    <t>09.517.</t>
  </si>
  <si>
    <t>Pašvaldības nodeva par reklāmas, afišu un sludinājumu izvietošanu publiskās vietās</t>
  </si>
  <si>
    <t>09.521.</t>
  </si>
  <si>
    <t>Pašvaldības nodeva par būvatļaujas izdošanu vai būvniecības ieceres akceptu</t>
  </si>
  <si>
    <t>09.529.</t>
  </si>
  <si>
    <t>Pārējās nodevas, ko uzliek pašvaldības</t>
  </si>
  <si>
    <t>10.000.</t>
  </si>
  <si>
    <t>Naudas sodi un sankcijas</t>
  </si>
  <si>
    <t>10.100.</t>
  </si>
  <si>
    <t>Naudas sodi</t>
  </si>
  <si>
    <t>10.140.</t>
  </si>
  <si>
    <t>Naudas sodi, ko uzliek pašvaldības</t>
  </si>
  <si>
    <t>10.154.</t>
  </si>
  <si>
    <t>Naudas sodi, ko uzliek pašvaldību institūcijas par pārkāpumiem ceļu satiksmē</t>
  </si>
  <si>
    <t>12.000.</t>
  </si>
  <si>
    <t>Pārējie nenodokļu ieņēmumi</t>
  </si>
  <si>
    <t>12.340.</t>
  </si>
  <si>
    <t>Ieņēmumi no budžeta iestāžu saņemto un iepriekšējos gados neizlietoto budžeta līdzekļu atmaksāšanas</t>
  </si>
  <si>
    <t>12.390.</t>
  </si>
  <si>
    <t>Citi dažādi nenodokļu ieņēmumi</t>
  </si>
  <si>
    <t>12.393.</t>
  </si>
  <si>
    <t>Piedzītie un labprātīgi atmaksātie līdzekļi</t>
  </si>
  <si>
    <t>12.395.</t>
  </si>
  <si>
    <t>Līgumsodi un procentu maksājumi par saistību neizpildi</t>
  </si>
  <si>
    <t>12.399.</t>
  </si>
  <si>
    <t>Pārējie dažādi nenodokļu ieņēmumi, kas nav iepriekš klasificēti šajā klasifikācijā</t>
  </si>
  <si>
    <t>13.000.</t>
  </si>
  <si>
    <t>Ieņēmumi no (valsts) pašvaldību īpašuma iznomāšanas, pārdošanas un no nodokļu pamatparāda kapitalizācijas</t>
  </si>
  <si>
    <t>13.100.</t>
  </si>
  <si>
    <t>Ieņēmumi no ēku un būvju īpašuma pārdošanas</t>
  </si>
  <si>
    <t>13.210.</t>
  </si>
  <si>
    <t>Ieņēmumi no zemes īpašuma pārdošanas</t>
  </si>
  <si>
    <t>13.400.</t>
  </si>
  <si>
    <t>Ieņēmumi no valsts un pašvaldību kustamā īpašuma un mantas realizācijas</t>
  </si>
  <si>
    <t>3. Transferti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</si>
  <si>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</si>
  <si>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</si>
  <si>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</si>
  <si>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publiskām personām un no budžeta nefinansētām iestādēm</t>
  </si>
  <si>
    <t>18.000.</t>
  </si>
  <si>
    <t>Valsts budžeta transferti</t>
  </si>
  <si>
    <t>18.600.</t>
  </si>
  <si>
    <t>Pašvaldību saņemtie transferti no valsts budžeta</t>
  </si>
  <si>
    <t>18.620.</t>
  </si>
  <si>
    <t>Pašvaldību saņemtie valsts budžeta transferti</t>
  </si>
  <si>
    <t>18.630.</t>
  </si>
  <si>
    <t>Pašvaldību no valsts budžeta iestādēm saņemtie transferti Eiropas Savienības politiku instrumentu un pārējās ārvalstu finanšu palīdzības līdzfinansētajiem projektiem (pasākumiem)</t>
  </si>
  <si>
    <t>18.640.</t>
  </si>
  <si>
    <t>Pašvaldību budžetā saņemtā dotācija no pašvaldību finanšu izlīdzināšanas fonda</t>
  </si>
  <si>
    <t>19.000.</t>
  </si>
  <si>
    <t>Pašvaldību budžetu transferti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</si>
  <si>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</si>
  <si>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</si>
  <si>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</si>
  <si>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</si>
  <si>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</si>
  <si>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</si>
  <si>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</si>
  <si>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21.150.</t>
  </si>
  <si>
    <t>21.191.</t>
  </si>
  <si>
    <t>21.194.</t>
  </si>
  <si>
    <t>Ieņēmumi no vadošā partnera partneru grupas īstenotajiem ārvalstu finanšu palīdzības projektiem</t>
  </si>
  <si>
    <t>21.300.</t>
  </si>
  <si>
    <t>Ieņēmumi no iestāžu sniegtajiem maksas pakalpojumiem un citi pašu ieņēmumi</t>
  </si>
  <si>
    <t>21.340.</t>
  </si>
  <si>
    <t>Procentu ieņēmumi par maksas pakalpojumu un citu pašu ieņēmumu ieguldījumiem depozītā vai kontu atlikumiem</t>
  </si>
  <si>
    <t>21.350.</t>
  </si>
  <si>
    <t>Maksa par izglītības pakalpojumiem</t>
  </si>
  <si>
    <t>21.351.</t>
  </si>
  <si>
    <t>Mācību maksa</t>
  </si>
  <si>
    <t>21.359.</t>
  </si>
  <si>
    <t>Pārējie ieņēmumi par izglītības pakalpojumiem</t>
  </si>
  <si>
    <t>21.370.</t>
  </si>
  <si>
    <t>Ieņēmumi par dokumentu izsniegšanu un kancelejas pakalpojumiem</t>
  </si>
  <si>
    <t>21.379.</t>
  </si>
  <si>
    <t>Ieņēmumi par pārējo dokumentu izsniegšanu un pārējiem kancelejas pakalpojumiem</t>
  </si>
  <si>
    <t>21.380.</t>
  </si>
  <si>
    <t>Ieņēmumi par nomu un īri</t>
  </si>
  <si>
    <t>21.383.</t>
  </si>
  <si>
    <t>Ieņēmumi no kustamā īpašuma iznomāšanas</t>
  </si>
  <si>
    <t>21.384.</t>
  </si>
  <si>
    <t>Ieņēmumi par zemes nomu</t>
  </si>
  <si>
    <t>21.389.</t>
  </si>
  <si>
    <t>Pārējie ieņēmumi par nomu un īri</t>
  </si>
  <si>
    <t>21.390.</t>
  </si>
  <si>
    <t>Ieņēmumi par pārējiem sniegtajiem maksas pakalpojumiem</t>
  </si>
  <si>
    <t>21.391.</t>
  </si>
  <si>
    <t>Maksa par personu uzturēšanos sociālās aprūpes iestādēs</t>
  </si>
  <si>
    <t>21.393.</t>
  </si>
  <si>
    <t>Ieņēmumi par biļešu realizāciju</t>
  </si>
  <si>
    <t>21.395.</t>
  </si>
  <si>
    <t>Ieņēmumi par projektu īstenošanu</t>
  </si>
  <si>
    <t>21.399.</t>
  </si>
  <si>
    <t>Citi ieņēmumi par maksas pakalpojumiem</t>
  </si>
  <si>
    <t>21.400.</t>
  </si>
  <si>
    <t>Pārējie 21.300.grupā neklasificētie iestāžu ieņēmumi par iestāžu sniegtajiem maksas pakalpojumiem un citu pašu ieņēmumi</t>
  </si>
  <si>
    <t>II. FINANSĒŠANA</t>
  </si>
  <si>
    <t>F21010000</t>
  </si>
  <si>
    <t>Naudas līdzekļi uz perioda sākumu</t>
  </si>
  <si>
    <t>F40020000</t>
  </si>
  <si>
    <t>Saņemtie aizņēmumi</t>
  </si>
  <si>
    <t>PAVISAM RESURSI (I+II)</t>
  </si>
  <si>
    <t>Pamatbudžeta izdevumu grozījumi</t>
  </si>
  <si>
    <t>Valdības funkcija</t>
  </si>
  <si>
    <t>Dotācija no vispārējiem ieņēmumiem</t>
  </si>
  <si>
    <t>Budžeta iestāžu ieņēmumi</t>
  </si>
  <si>
    <t>Pašvaldību budžeta transferti</t>
  </si>
  <si>
    <t>I. Izdevumi atbilstoši funkcionālajām kategorijām</t>
  </si>
  <si>
    <t>01.000.</t>
  </si>
  <si>
    <t>Vispārējie valdības dienesti</t>
  </si>
  <si>
    <t>03.000.</t>
  </si>
  <si>
    <t>Sabiedriskā kārtība un drošība</t>
  </si>
  <si>
    <t>04.000.</t>
  </si>
  <si>
    <t>Ekonomiskā darbība</t>
  </si>
  <si>
    <t>05.000.</t>
  </si>
  <si>
    <t>Vides aizsardzība</t>
  </si>
  <si>
    <t>06.000.</t>
  </si>
  <si>
    <t>Teritoriju un mājokļu apsaimniekošana</t>
  </si>
  <si>
    <t>07.000.</t>
  </si>
  <si>
    <t>Veselība</t>
  </si>
  <si>
    <t>08.000.</t>
  </si>
  <si>
    <t>Atpūta, kultūra un reliģija</t>
  </si>
  <si>
    <t>Izglītība</t>
  </si>
  <si>
    <t>Sociālā aizsardzība</t>
  </si>
  <si>
    <t>II. Finansēšana</t>
  </si>
  <si>
    <t>F40320020</t>
  </si>
  <si>
    <t>Saņemto ilgtermiņa aizņēmumu atmaksa</t>
  </si>
  <si>
    <t>F50010000</t>
  </si>
  <si>
    <t>Akcijas un cita līdzdalība komersantu pašu kapitālā</t>
  </si>
  <si>
    <t>SIA "Medicīnas sabiedrība OPTIMA - 1"</t>
  </si>
  <si>
    <t>SIA "Zemgales olimpiskais centrs"</t>
  </si>
  <si>
    <t>SIA "Jelgavas poliklīnika"</t>
  </si>
  <si>
    <t>SIA "Jelgavas pilsētas slimnīca"</t>
  </si>
  <si>
    <t>Naudas līdzekļu atlikums uz perioda beigām</t>
  </si>
  <si>
    <t>PAVISAM IZDEVUMI (I+II)</t>
  </si>
  <si>
    <t>Pamatbudžeta izdevumu atšifrējums pa programmām</t>
  </si>
  <si>
    <t>Grozījumi dotācijai no vispārējiem ieņēmumiem</t>
  </si>
  <si>
    <t>Grozījumi budžeta iestāžu ieņēmumiem</t>
  </si>
  <si>
    <t>Grozījumi valsts budžeta transfertiem</t>
  </si>
  <si>
    <t>Grozījumi pašvaldību budžeta transfertiem</t>
  </si>
  <si>
    <t>01.110.</t>
  </si>
  <si>
    <t>Izpildvaras un likumdošanas varas institūcijas</t>
  </si>
  <si>
    <t>Izpildvaras institūcija</t>
  </si>
  <si>
    <t>01.113.</t>
  </si>
  <si>
    <t>Projekts "Komunikācija ar sabiedrību tās iesaistei pašvaldību lēmumu pieņemšanā"</t>
  </si>
  <si>
    <t>01.120.</t>
  </si>
  <si>
    <t>Finanšu un fiskālā darbība</t>
  </si>
  <si>
    <t>01.122.</t>
  </si>
  <si>
    <t>01.123.</t>
  </si>
  <si>
    <t>01.330.</t>
  </si>
  <si>
    <t>Pārējo vispārējas nozīmes dienestu darbība un pakalpojumi</t>
  </si>
  <si>
    <t>01.331.</t>
  </si>
  <si>
    <t>Centralizēto datoru un datortīkla uzturēšana</t>
  </si>
  <si>
    <t>01.600.</t>
  </si>
  <si>
    <t>Pārējie iepriekš neklasificētie vispārējie valdības dienesti</t>
  </si>
  <si>
    <t>01.601.</t>
  </si>
  <si>
    <t>Vēlēšanu organizēšana</t>
  </si>
  <si>
    <t>01.720.</t>
  </si>
  <si>
    <t>Pašvaldību budžetu parāda darījumi</t>
  </si>
  <si>
    <t>01.721.</t>
  </si>
  <si>
    <t>Parāda procentu nomaksa</t>
  </si>
  <si>
    <t>01.830.</t>
  </si>
  <si>
    <t>Vispārēja rakstura transferti no pašvaldību budžeta pašvaldību budžetam</t>
  </si>
  <si>
    <t>01.831.</t>
  </si>
  <si>
    <t>Transferti citām pašvaldībām izglītības funkciju nodrošināšanai</t>
  </si>
  <si>
    <t>01.832.</t>
  </si>
  <si>
    <t>Transferti citām pašvaldībām sociālās aizsardzības funkciju nodrošināšanai</t>
  </si>
  <si>
    <t>01.890.</t>
  </si>
  <si>
    <t>Pārējie citur neklasificētie vispārēja rakstura transferti starp dažādiem valsts pārvaldes līmeņiem</t>
  </si>
  <si>
    <t>01.891.</t>
  </si>
  <si>
    <t>03.100.</t>
  </si>
  <si>
    <t>Policija</t>
  </si>
  <si>
    <t>03.111.</t>
  </si>
  <si>
    <t>03.200.</t>
  </si>
  <si>
    <t>Ugunsdrošības, ugunsdzēsības, glābšanas un civilās drošības dienesti</t>
  </si>
  <si>
    <t>03.202.</t>
  </si>
  <si>
    <t>04.510.</t>
  </si>
  <si>
    <t>Autotransports</t>
  </si>
  <si>
    <t>04.511.</t>
  </si>
  <si>
    <t>Ceļu un ielu infrastruktūras funkcionēšana, izmantošana, būvniecība un uzturēšana</t>
  </si>
  <si>
    <t>04.515.</t>
  </si>
  <si>
    <t>04.730.</t>
  </si>
  <si>
    <t>Tūrisms</t>
  </si>
  <si>
    <t>04.733.</t>
  </si>
  <si>
    <t>04.737.</t>
  </si>
  <si>
    <t>ERAF projekts "Nozīmīga kultūrvēsturiskā mantojuma saglabāšana un attīstība kultūras tūrisma piedāvājuma pilnveidošanai Zemgales reģionā"</t>
  </si>
  <si>
    <t>04.740.</t>
  </si>
  <si>
    <t>Vairāku mērķu attīstības projekti</t>
  </si>
  <si>
    <t>04.900.</t>
  </si>
  <si>
    <t>Pārējā nekur citur neklasificētā ekonomiskā darbība</t>
  </si>
  <si>
    <t>04.901.</t>
  </si>
  <si>
    <t>Zemes reformas darbība, zemes īpašuma un lietošanas tiesību pārveidošana</t>
  </si>
  <si>
    <t>04.909.</t>
  </si>
  <si>
    <t>Dotācija "Zemgales plānošanas reģions"</t>
  </si>
  <si>
    <t>04.917.</t>
  </si>
  <si>
    <t>Jelgavas pilsētas pašvaldības grantu programma "Atbalsts komersantiem un saimnieciskās darbības veicējiem"</t>
  </si>
  <si>
    <t>05.100.</t>
  </si>
  <si>
    <t>Atkritumu apsaimniekošana</t>
  </si>
  <si>
    <t>05.101.</t>
  </si>
  <si>
    <t>Ielu, laukumu, publisko dārzu un parku tīrīšana un atkritumu savākšana</t>
  </si>
  <si>
    <t>05.102.</t>
  </si>
  <si>
    <t>05.200.</t>
  </si>
  <si>
    <t>Notekūdeņu apsaimniekošana</t>
  </si>
  <si>
    <t>05.202.</t>
  </si>
  <si>
    <t>05.300.</t>
  </si>
  <si>
    <t>Vides piesārņojuma novēršana un samazināšana</t>
  </si>
  <si>
    <t>05.303.</t>
  </si>
  <si>
    <t>05.600.</t>
  </si>
  <si>
    <t>Pārējā nekur citur neklasificētā vides aizsardzība</t>
  </si>
  <si>
    <t>06.200.</t>
  </si>
  <si>
    <t>Teritoriju attīstība</t>
  </si>
  <si>
    <t>06.201.</t>
  </si>
  <si>
    <t>Projektu sagatavošana, izstrāde un teritoriju attīstība</t>
  </si>
  <si>
    <t>06.400.</t>
  </si>
  <si>
    <t>Ielu apgaismošana</t>
  </si>
  <si>
    <t>06.401.</t>
  </si>
  <si>
    <t>06.600.</t>
  </si>
  <si>
    <t>Pārējā citur neklasificētā teritoriju un mājokļu apsaimniekošanas darbība</t>
  </si>
  <si>
    <t>06.601.</t>
  </si>
  <si>
    <t>06.602.</t>
  </si>
  <si>
    <t>06.603.</t>
  </si>
  <si>
    <t>Pašvaldības īpašumu apsaimniekošana</t>
  </si>
  <si>
    <t>06.604.</t>
  </si>
  <si>
    <t>Pašvaldības dzīvokļu pārvaldīšana, remonts un veco māju nojaukšana</t>
  </si>
  <si>
    <t>06.606.</t>
  </si>
  <si>
    <t>Ar pašvaldības teritoriju saistīto normatīvo aktu un standartu sagatavošana un ieviešana</t>
  </si>
  <si>
    <t>06.607.</t>
  </si>
  <si>
    <t>Pašvaldības līdzfinansējums energoefektivitātes paaugstināšanas pasākumu veikšanai daudzdzīvokļu dzīvojamās mājās</t>
  </si>
  <si>
    <t>07.100.</t>
  </si>
  <si>
    <t>Ārstniecības līdzekļi</t>
  </si>
  <si>
    <t>07.200.</t>
  </si>
  <si>
    <t>Ambulatoru ārstniecības iestāžu darbība un pakalpojumi</t>
  </si>
  <si>
    <t>07.300.</t>
  </si>
  <si>
    <t>Slimnīcu pakalpojumi</t>
  </si>
  <si>
    <t>07.450.</t>
  </si>
  <si>
    <t>Veselības veicināšanas pasākumi</t>
  </si>
  <si>
    <t>07.452.</t>
  </si>
  <si>
    <t>07.623.</t>
  </si>
  <si>
    <t>Nodibinājums "Jelgavnieku veselības veicināšanas fonds"</t>
  </si>
  <si>
    <t>08.100.</t>
  </si>
  <si>
    <t>Atpūtas un sporta pasākumi</t>
  </si>
  <si>
    <t>08.101.</t>
  </si>
  <si>
    <t>08.103.</t>
  </si>
  <si>
    <t>Dotācijas sporta pasākumiem</t>
  </si>
  <si>
    <t>08.105.</t>
  </si>
  <si>
    <t>Nodibinājums "Sporta tālākizglītības atbalsta fonds"</t>
  </si>
  <si>
    <t>08.200.</t>
  </si>
  <si>
    <t>Kultūra</t>
  </si>
  <si>
    <t>08.210.</t>
  </si>
  <si>
    <t>Bibliotēkas</t>
  </si>
  <si>
    <t>08.211.</t>
  </si>
  <si>
    <t>08.220.</t>
  </si>
  <si>
    <t>Muzeji un izstādes</t>
  </si>
  <si>
    <t>08.221.</t>
  </si>
  <si>
    <t>08.230.</t>
  </si>
  <si>
    <t>Kultūras centri, nami un klubi</t>
  </si>
  <si>
    <t>08.231.</t>
  </si>
  <si>
    <t>08.232.</t>
  </si>
  <si>
    <t>08.240.</t>
  </si>
  <si>
    <t>Teātri, izrādes un koncertdarbība</t>
  </si>
  <si>
    <t>08.242.</t>
  </si>
  <si>
    <t>Jelgavas bigbenda darbības nodrošināšana</t>
  </si>
  <si>
    <t>08.243.</t>
  </si>
  <si>
    <t>Jelgavas Ā.Alunāna teātra darbības nodrošināšana</t>
  </si>
  <si>
    <t>08.290.</t>
  </si>
  <si>
    <t>Pārējā citur neklasificētā kultūra</t>
  </si>
  <si>
    <t>08.291.</t>
  </si>
  <si>
    <t>Tautas mākslas kolektīvu darbības nodrošināšana</t>
  </si>
  <si>
    <t>08.292.</t>
  </si>
  <si>
    <t>Pilsētas nozīmes pasākumi</t>
  </si>
  <si>
    <t>08.400.</t>
  </si>
  <si>
    <t>Reliģisko organizāciju un citu biedrību un nodibinājumu pakalpojumi</t>
  </si>
  <si>
    <t>08.401.</t>
  </si>
  <si>
    <t>Dotācijas projektu realizācijai NVO</t>
  </si>
  <si>
    <t>08.402.</t>
  </si>
  <si>
    <t>Kultūras padomes finansētie pasākumi</t>
  </si>
  <si>
    <t>08.403.</t>
  </si>
  <si>
    <t>Nodibinājums "Atbalsts kultūrai Jelgavā"</t>
  </si>
  <si>
    <t>08.405.</t>
  </si>
  <si>
    <t>Dotācijas biedrībām un nodibinājumiem</t>
  </si>
  <si>
    <t>09.100.</t>
  </si>
  <si>
    <t>Pirmsskolas izglītība</t>
  </si>
  <si>
    <t>09.101.</t>
  </si>
  <si>
    <t>09.111.</t>
  </si>
  <si>
    <t>Projekts "Ēkas pārbūve par pirmskolas izglītības iestādi Brīvības bulvārī 31 A, Jelgavā"</t>
  </si>
  <si>
    <t>09.200.</t>
  </si>
  <si>
    <t>Pamatizglītība, vispārējā un profesionālā izglītība</t>
  </si>
  <si>
    <t>09.210.</t>
  </si>
  <si>
    <t>Vispārējā izglītība. Pamatizglītība</t>
  </si>
  <si>
    <t>09.219.1.</t>
  </si>
  <si>
    <t>Jelgavas vispārizglītojošo skolu darbības nodrošināšana</t>
  </si>
  <si>
    <t>09.219.2.</t>
  </si>
  <si>
    <t>09.219.3.</t>
  </si>
  <si>
    <t>Jelgavas vispārizglītojošo skolu projektu īstenošana</t>
  </si>
  <si>
    <t>09.219.5.</t>
  </si>
  <si>
    <t>ERAF projekts "Mācību vides uzlabošana Jelgavas Valsts ģimnāzijā un Jelgavas Tehnoloģiju vidusskolā"</t>
  </si>
  <si>
    <t>09.219.8.</t>
  </si>
  <si>
    <t>ERAF projekts "Jelgavas pilsētas pašvaldības izglītības iestādes "Jelgavas Tehnoloģiju vidusskola" energoefektivitātes paaugstināšana"</t>
  </si>
  <si>
    <t>09.222.</t>
  </si>
  <si>
    <t>Profesionālā vidējā izglītība</t>
  </si>
  <si>
    <t>09.222.2.</t>
  </si>
  <si>
    <t>Jelgavas Amatu vidusskolas darbības nodrošināšana</t>
  </si>
  <si>
    <t>09.222.3.</t>
  </si>
  <si>
    <t>Jelgavas Amatu vidusskolas projektu īstenošana</t>
  </si>
  <si>
    <t>09.510.</t>
  </si>
  <si>
    <t>Interešu un profesionālās ievirzes izglītība</t>
  </si>
  <si>
    <t>Jelgavas Mākslas skolas darbības nodrošināšana</t>
  </si>
  <si>
    <t>09.513.</t>
  </si>
  <si>
    <t>Jelgavas sporta skolu darbības nodrošināšana</t>
  </si>
  <si>
    <t>09.520.</t>
  </si>
  <si>
    <t>Pedagogu profesionālās meistarības pilnveidošana, rezidentu apmācība, tālākizglītība, Valsts administrācijas skolas nodrošinātā apmācība</t>
  </si>
  <si>
    <t>Nodibinājums "Izglītības atbalsta fonds"</t>
  </si>
  <si>
    <t>09.522.</t>
  </si>
  <si>
    <t>09.530.</t>
  </si>
  <si>
    <t>Līmeņos nedefinēta izglītība pieaugušajiem</t>
  </si>
  <si>
    <t>09.531.</t>
  </si>
  <si>
    <t>PI "Zemgales reģionālais kompetenču attīstības centrs" darbības nodrošināšana</t>
  </si>
  <si>
    <t>09.532.</t>
  </si>
  <si>
    <t>PI "Zemgales reģionālais kompetenču attīstības centrs" projektu īstenošana</t>
  </si>
  <si>
    <t>09.533.</t>
  </si>
  <si>
    <t>ESF projekts "Proti un dari"</t>
  </si>
  <si>
    <t>09.534.</t>
  </si>
  <si>
    <t>ESF projekts "Nodarbināto personu profesionālās kompetences pilnveide"</t>
  </si>
  <si>
    <t>09.810.</t>
  </si>
  <si>
    <t>Pārējā izglītības vadība</t>
  </si>
  <si>
    <t>09.811.</t>
  </si>
  <si>
    <t>PI "Jelgavas izglītības pārvalde" darbības nodrošināšana</t>
  </si>
  <si>
    <t>09.812.</t>
  </si>
  <si>
    <t>PI "Jelgavas izglītības pārvalde" projektu īstenošana</t>
  </si>
  <si>
    <t>09.812.3.</t>
  </si>
  <si>
    <t>PI "Jelgavas izglītības pārvalde" iekļaujošas izglītības atbalsta centrs</t>
  </si>
  <si>
    <t>09.820.</t>
  </si>
  <si>
    <t>Pārējie citur neklasificētie izglītības pakalpojumi</t>
  </si>
  <si>
    <t>10.120.</t>
  </si>
  <si>
    <t>Sociālā aizsardzība invaliditātes gadījumā</t>
  </si>
  <si>
    <t>10.121.</t>
  </si>
  <si>
    <t>Invalīdu rehabilitācijas pasākumi, invalīdu transports u.c. kompensācijas</t>
  </si>
  <si>
    <t>10.122.</t>
  </si>
  <si>
    <t>Dienas centrs "Harmonija"</t>
  </si>
  <si>
    <t>10.123.</t>
  </si>
  <si>
    <t>Dienas centrs "Integra"</t>
  </si>
  <si>
    <t>10.124.</t>
  </si>
  <si>
    <t>Dienas centrs "Atbalsts"</t>
  </si>
  <si>
    <t>10.125.</t>
  </si>
  <si>
    <t>Grupu dzīvokļi</t>
  </si>
  <si>
    <t>10.127.</t>
  </si>
  <si>
    <t>ESF projekts "Atver sirdi Zemgalē"</t>
  </si>
  <si>
    <t>10.200.</t>
  </si>
  <si>
    <t>Atbalsts gados veciem cilvēkiem</t>
  </si>
  <si>
    <t>10.201.</t>
  </si>
  <si>
    <t>Sociālās un medicīniskās aprūpes centrs</t>
  </si>
  <si>
    <t>10.202.</t>
  </si>
  <si>
    <t>Palīdzība veciem cilvēkiem</t>
  </si>
  <si>
    <t>10.400.</t>
  </si>
  <si>
    <t>Atbalsts ģimenēm ar bērniem</t>
  </si>
  <si>
    <t>10.402.</t>
  </si>
  <si>
    <t>Sociālā palīdzība ģimenēm ar bērniem un vardarbībā cietušo bērnu rehabilitācija</t>
  </si>
  <si>
    <t>10.403.</t>
  </si>
  <si>
    <t>10.500.</t>
  </si>
  <si>
    <t>Atbalsts bezdarba gadījumā</t>
  </si>
  <si>
    <t>10.504.</t>
  </si>
  <si>
    <t>10.600.</t>
  </si>
  <si>
    <t>Mājokļa atbalsts</t>
  </si>
  <si>
    <t>10.601.</t>
  </si>
  <si>
    <t>10.700.</t>
  </si>
  <si>
    <t>Pārējais citur neklasificētais atbalsts sociāli atstumtām personām</t>
  </si>
  <si>
    <t>10.701.</t>
  </si>
  <si>
    <t>Sociālā māja un sociālie dzīvokļi</t>
  </si>
  <si>
    <t>10.704.</t>
  </si>
  <si>
    <t>GMI pabalsts, mirušo apbedīšanas izdevumi un citi naudas maksājumi maznodrošinātām un neaizsargātām personām</t>
  </si>
  <si>
    <t>10.705.2.</t>
  </si>
  <si>
    <t>JSLP Naktspatversme</t>
  </si>
  <si>
    <t>10.707.</t>
  </si>
  <si>
    <t>Higiēnas centrs</t>
  </si>
  <si>
    <t>10.710.</t>
  </si>
  <si>
    <t>Sociālo pakalpojumu centrs bērniem</t>
  </si>
  <si>
    <t>10.711.</t>
  </si>
  <si>
    <t>10.900.</t>
  </si>
  <si>
    <t>Pārējā citur neklasificētā sociālā aizsardzība</t>
  </si>
  <si>
    <t>10.911.</t>
  </si>
  <si>
    <t>PI "Jelgavas sociālo lietu pārvalde" darbības nodrošināšana</t>
  </si>
  <si>
    <t>10.921.</t>
  </si>
  <si>
    <t>Pabalsti ārkārtas gadījumos, citi pabalsti un kompensācijas</t>
  </si>
  <si>
    <t>10.922.</t>
  </si>
  <si>
    <t>Braukšanas maksas atvieglojumi skolēniem sabiedriskajā transportā</t>
  </si>
  <si>
    <t>SIA "Medicīnas sabiedrība OPTIMA -1"</t>
  </si>
  <si>
    <t>PAVISAM IZDEVUMI ( I+II)</t>
  </si>
  <si>
    <t>Pašvaldības budžeta ieņēmumos saņemtais iedzīvotāju ienākuma nodoklis no Valsts kases sadales konta</t>
  </si>
  <si>
    <t>Nodokļi par pakalpojumiem un precēm</t>
  </si>
  <si>
    <t>Ieņēmumi Eiropas strukturālo un investīciju fondu projektu un pasākumu īstenošanai</t>
  </si>
  <si>
    <t>Ieņēmumi no citu Eiropas Savienības politiku instrumentu līdzfinansēto projektu un pasākumu īstenošanas, kas nav Eiropas struktūrālie un investīciju fondi, un citu valstu finanšu palīdzības programmu īstenošanas</t>
  </si>
  <si>
    <t>Ieņēmumi par nedzīvojamā nekustamā īpašuma nomu</t>
  </si>
  <si>
    <t>21.490.</t>
  </si>
  <si>
    <t>Citi iepriekš neklasificētie pašu ieņēmumi</t>
  </si>
  <si>
    <t>Sabiedriskā transporta pakalpojumu nodrošināšana Jelgavas pilsētas administratīvajā teritorijā</t>
  </si>
  <si>
    <t>ERAF projekts "Kultūras mantojuma saglabāšana un attīstība Jelgavas pilsētā"</t>
  </si>
  <si>
    <t>04.738.</t>
  </si>
  <si>
    <t>04.739.</t>
  </si>
  <si>
    <t>ERAF projekts "Pilssalas ielas degradētās teritorijas sakārtošana"</t>
  </si>
  <si>
    <t>Finansējums pašvaldības kapitālsabiedrībām vides aizsardzības pasākumu īstenošanai</t>
  </si>
  <si>
    <t>09.519.04.</t>
  </si>
  <si>
    <t>ERAF projekts "Sabiedrībā balstītu sociālo pakalpojumu infrastruktūras izveide, Jelgavā"</t>
  </si>
  <si>
    <t>10.712.</t>
  </si>
  <si>
    <t>ERAF "Daudzfunkcionālā sociālo pakalpojumu centra ēkas Zirgu ielā 47a, Jelgavā, energoefektivitātes paaugstināšana"</t>
  </si>
  <si>
    <t>04.744.</t>
  </si>
  <si>
    <t>04.745.</t>
  </si>
  <si>
    <t>Mājokļu attīstība</t>
  </si>
  <si>
    <t>06.100.</t>
  </si>
  <si>
    <t>08.108.</t>
  </si>
  <si>
    <t>Nacionālās sporta bāzes SIA "Zemgales olimpiskais centrs"-uzturēšanas izdevumu segšana</t>
  </si>
  <si>
    <t>Pašvaldības teritorijas, kapsētu un mežu apsaimniekošana</t>
  </si>
  <si>
    <t>01.116.</t>
  </si>
  <si>
    <t>Projekts "Ēkas Pasta ielā 32, Jelgavā, pārbūve par dzimtsarakstu nodaļu"</t>
  </si>
  <si>
    <t>21.411.</t>
  </si>
  <si>
    <t>Citi ieņēmumi no palīgražošanas</t>
  </si>
  <si>
    <t>21.193.</t>
  </si>
  <si>
    <t>Ieņēmumi par saņemtajām atmaksām par iepriekšējos saimnieciskajos gados pārskaitītajiem līdzekļiem Eiropas Savienības politiku instrumentu un pārējās ārvalstu finanšu palīdzības līdzfinansēto projektu (pasākumu)  īstenošanai</t>
  </si>
  <si>
    <t>21.381.</t>
  </si>
  <si>
    <t>ESF projekts "Veselības veicināšana Jelgavā"</t>
  </si>
  <si>
    <t>Līdzekļi neparedzētiem gadījumiem</t>
  </si>
  <si>
    <t>Interreg V-A Latvijas-Lietuvas pārrobežu sadarbības programmas projekts "Kopīga pārrobežu tūrisma piedāvājuma "Saules ceļš" izveide"</t>
  </si>
  <si>
    <t>04.746.</t>
  </si>
  <si>
    <t>"Apvārsnis 2020" programmas projekts "IMPETUS"</t>
  </si>
  <si>
    <t>Pilsētas sanitārā tīrīšana</t>
  </si>
  <si>
    <t>Pārējie interešu izglītības pasākumi, t.sk. Jaunrades nama "Junda" darbības nodrošināšana</t>
  </si>
  <si>
    <t>Interreg V-A Latvijas-Lietuvas pārrobežu sadarbības programmas projekts "Sociālajam riskam pakļauto bērnu un jauniešu integrācija Jelgavas un Šauļu pilsētas pašvaldībās"</t>
  </si>
  <si>
    <t>09.640.</t>
  </si>
  <si>
    <t>Izglītojamo pārējie papildu pakalpojumi</t>
  </si>
  <si>
    <t>09.640.1.</t>
  </si>
  <si>
    <t>Asistentu pakalpojumu nodrošināšana</t>
  </si>
  <si>
    <t>09.823.</t>
  </si>
  <si>
    <t>10.125.1.</t>
  </si>
  <si>
    <t>DI Grupu dzīvokļi</t>
  </si>
  <si>
    <t>Mājokļa pabalsts un pabalsts individuālās apkures nodrošināšanai</t>
  </si>
  <si>
    <t>10.713.</t>
  </si>
  <si>
    <t>Specializētās darbnīcas</t>
  </si>
  <si>
    <t>"Apvārsnis 2020" programmas projekts "Wellbased"</t>
  </si>
  <si>
    <t>08.600.</t>
  </si>
  <si>
    <t>Pārējie citur neklasificētie sporta, atpūtas, kultūras un reliģijas pakalpojumi</t>
  </si>
  <si>
    <t>08.621.</t>
  </si>
  <si>
    <t>ERAF projekts "Uzņēmējdarbības atbalsta pasākumi Zemgales plānošanas reģionā"</t>
  </si>
  <si>
    <t>21.429.</t>
  </si>
  <si>
    <t>Pārējie iepriekš neklasificētie īpašiem mērķiem noteiktie ieņēmumi</t>
  </si>
  <si>
    <t>09.219.9.</t>
  </si>
  <si>
    <t>ERAF projekts "Jelgavas pamatskolas "Valdeka"-attīstības centra skolas ēkas energoefektivitātes paaugstināšana"</t>
  </si>
  <si>
    <t>09.535.</t>
  </si>
  <si>
    <t xml:space="preserve">ERAF projekts “Ēkas daļas Svētes ielā 33, Jelgavā energoefektivitātes paaugstināšana” </t>
  </si>
  <si>
    <t>09.519.05.</t>
  </si>
  <si>
    <t>Pašvaldības investīciju projekts "Jelgavas Bērnu un jaunatnes sporta skolas infrastruktūras attīstība"</t>
  </si>
  <si>
    <t>10.924.</t>
  </si>
  <si>
    <t>Atbalsts mājsaimniecībām energoresursu izdevumu kompensēšanai</t>
  </si>
  <si>
    <t>12.341.</t>
  </si>
  <si>
    <t>Ieņēmumi no budžeta iestādēm atmaksātiem debitoru parādiem Eiropas Savienības politiku instrumentu un pārējās ārvalstu finanšu palīdzības līdzfinansētos projektos (pasākumos)</t>
  </si>
  <si>
    <t>Grozījumi         + vai -, 
EUR</t>
  </si>
  <si>
    <t>Plāns 2023.gadam, EUR</t>
  </si>
  <si>
    <t>09.460.</t>
  </si>
  <si>
    <t>Valsts nodeva par speciālu atļauju (licenču) izsniegšanu</t>
  </si>
  <si>
    <t>Grozījumi, EUR</t>
  </si>
  <si>
    <t>Resursi izdevumu segšanai, EUR</t>
  </si>
  <si>
    <t>xxx</t>
  </si>
  <si>
    <t>tukšs</t>
  </si>
  <si>
    <t>01.117.</t>
  </si>
  <si>
    <t>Jelgavas valstspilsētas un Jelgavas novada pašvaldības kopīgās iestādes "Jelgavas valstspilsētas un novada Dzimtsarakstu nodaļa" darbības nodrošināšana</t>
  </si>
  <si>
    <t>Pašvaldības ieņēmumu un izdevumu administrēšana, revidentu pakalpojumi</t>
  </si>
  <si>
    <t>JVPI "Pašvaldības iestāžu centralizētā grāmatvedība" darbības nodrošināšana</t>
  </si>
  <si>
    <t>01.333.</t>
  </si>
  <si>
    <t>JVPI "Jelgavas digitālais centrs" darbības nodrošināšana</t>
  </si>
  <si>
    <t>JVPI "Jelgavas pašvaldības policija" darbības nodrošināšana</t>
  </si>
  <si>
    <t>Pašvaldības operatīvās informācijas centrs</t>
  </si>
  <si>
    <t>ERAF projekts "Tehniskās infrastruktūras sakārtošana uzņēmējdarbības attīstībai Rubeņu ceļa rūpnieciskajā teritorijā"</t>
  </si>
  <si>
    <t>04.510.533.</t>
  </si>
  <si>
    <t>JVPI "Jelgavas reģionālais tūrisma centrs" darbības nodrošināšana</t>
  </si>
  <si>
    <t>JVPI "Pilsētsaimniecība" darbības nodrošināšana</t>
  </si>
  <si>
    <t>JVPI "Sporta servisa centrs" darbības nodrošināšana</t>
  </si>
  <si>
    <t>JVPI "Jelgavas Pilsētas bibliotēka" darbības nodrošināšana</t>
  </si>
  <si>
    <t>JVPI "Ģ.Eliasa Jelgavas Vēstures un mākslas muzejs" darbības nodrošināšana</t>
  </si>
  <si>
    <t>JVPI "Kultūra" darbības nodrošināšana</t>
  </si>
  <si>
    <t>JVPI "Kultūra" pasākumi</t>
  </si>
  <si>
    <t>JVPI "Sabiedriskais centrs" darbības nodrošināšana</t>
  </si>
  <si>
    <t>Jelgavas pirmsskolas izglītības iestāžu darbības nodrošināšana un speciālās pirmsskolas izglītības programma</t>
  </si>
  <si>
    <t>Jelgavas speciālo skolu darbības nodrošināšana</t>
  </si>
  <si>
    <t>Nodibinājums "Jāņa Bisenieka fonds"</t>
  </si>
  <si>
    <t>09.620.</t>
  </si>
  <si>
    <t>09.620.1.</t>
  </si>
  <si>
    <t>09.600.</t>
  </si>
  <si>
    <t>Izglītības papildu pakalpojumi</t>
  </si>
  <si>
    <t>Izglītojamo ēdināšanas pakalpojumi</t>
  </si>
  <si>
    <t>Izglītojamo ēdināšanas pakalpojumu nodrošināšana</t>
  </si>
  <si>
    <t>09.630.</t>
  </si>
  <si>
    <t>Izglītojamo izmitināšanas pakalpojumi</t>
  </si>
  <si>
    <t>09.630.1.</t>
  </si>
  <si>
    <t>Izglītojamo izmitināšanas pakalpojumu nodrošināšana Jelgavas pamatskolas "Valdeka"-attīstības centra dienesta viesnīcā</t>
  </si>
  <si>
    <t>09.640.2.</t>
  </si>
  <si>
    <t>Pārējo papildu pakalpojumu nodrošināšana izglītojamajiem Jelgavas Pārlielupes pamatskolas baseinā</t>
  </si>
  <si>
    <t>Līmeņos dedefinētā izglītība</t>
  </si>
  <si>
    <t>09.800.</t>
  </si>
  <si>
    <t>Pērējā citur neklasificētā izglītība</t>
  </si>
  <si>
    <t>10.126.</t>
  </si>
  <si>
    <t>Atelpas brīdis</t>
  </si>
  <si>
    <t>JVPI "Jelgavas valstspilsētas bāriņtiesa" darbības nodrošināšana</t>
  </si>
  <si>
    <t>5. pielikums</t>
  </si>
  <si>
    <t xml:space="preserve">         JELGAVAS VALSTSPILSĒTAS PAŠVALDĪBAS ILGTERMIŅA SAISTĪBAS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</si>
  <si>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</si>
  <si>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</si>
  <si>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</si>
  <si>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</si>
  <si>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</si>
  <si>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</si>
  <si>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</si>
  <si>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</si>
  <si>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</si>
  <si>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EUR</t>
  </si>
  <si>
    <t>2038-2053</t>
  </si>
  <si>
    <t>KOPĀ</t>
  </si>
  <si>
    <t>Valsts kase</t>
  </si>
  <si>
    <t>Investīciju projektu īstenošanai (saistību pārjaunojums)</t>
  </si>
  <si>
    <t>06.07.2018.-20.11.2034.</t>
  </si>
  <si>
    <t>Pamatsumma</t>
  </si>
  <si>
    <t>A2/1/18/441</t>
  </si>
  <si>
    <t>Projekts "Jelgavas 1.internātpamatskolas rekonstrukcijas darbi"</t>
  </si>
  <si>
    <t>23.01.2015. - 22.01.2035</t>
  </si>
  <si>
    <t>A2/1/15/13</t>
  </si>
  <si>
    <t>Projekts "Jelgavas pilsētas PPII Skautu ielā 1 rekonstrukcijas darbi"</t>
  </si>
  <si>
    <t>23.01.2015. - 22.01.2035.</t>
  </si>
  <si>
    <t>A2/1/15/14</t>
  </si>
  <si>
    <t>Projekts "Siltumnīcefektu gāzu emisiju samazināšana" (Pilsētsaimniecība)</t>
  </si>
  <si>
    <t>20.05.2015. - 20.05.2035.</t>
  </si>
  <si>
    <t>A2/1/15/241</t>
  </si>
  <si>
    <t>Valsts Kase</t>
  </si>
  <si>
    <t>Projekts "Jelgavas izglītības pārvaldes ēkas jumta rekonstrukcija"</t>
  </si>
  <si>
    <t>18.06.2015.- 20.06.2035.</t>
  </si>
  <si>
    <t>A2/1/15/322</t>
  </si>
  <si>
    <t>Projekts "Energoefektīvu risinājumu piemērošana ilgtspējīgām ēkām Jelgavā - sporta halle"</t>
  </si>
  <si>
    <t>02.10.2015.-20.09.2035.</t>
  </si>
  <si>
    <t>A2/1/15/569</t>
  </si>
  <si>
    <t>07.06.2017.-20.03.2047.</t>
  </si>
  <si>
    <t>A2/1/17/364</t>
  </si>
  <si>
    <t>Prioritārais projekts "Jelgavas kultūras nama iekšējo komunikāciju atjaunošana"</t>
  </si>
  <si>
    <t>07.06.2017.-20.11.2036.</t>
  </si>
  <si>
    <t>A2/1/17/365</t>
  </si>
  <si>
    <t>Projekts "Atmodas ielas posma no Dobeles šosejas līdz Dambja ielai asfalta seguma atjaunošana"</t>
  </si>
  <si>
    <t>03.07.2017.-20.11.2036.</t>
  </si>
  <si>
    <t>A2/1/17/467</t>
  </si>
  <si>
    <t>Izglītības iestāžu investīciju projekts "Jelgavas pilsētas PPII "Zemenīte" telpu pārbūve"</t>
  </si>
  <si>
    <t>A2/1/17/465</t>
  </si>
  <si>
    <t xml:space="preserve">Izglītības iestāžu investīciju projekts  "Jelgavas 1.internātpamatskolas jumta konstrukciju nomaiņa" </t>
  </si>
  <si>
    <t>10.08.2017.-20.11.2036.</t>
  </si>
  <si>
    <t>A2/1/17/588</t>
  </si>
  <si>
    <t>SIA "Jelgavas ūdens" pamatkapitāla palielināšana projekta "Ūdenssaimniecības pakalpojumu attīstība Jelgavā, V kārta" īstenošanai</t>
  </si>
  <si>
    <t>31.08.2017.-20.03.2047.</t>
  </si>
  <si>
    <t>A2/1/17/632</t>
  </si>
  <si>
    <t>Izglītības iestāžu investīciju projekts "Jelgavas pilsētas PPII "Rotaļa" ēkas rekonstrukcija"</t>
  </si>
  <si>
    <t>31.08.2017.-20.08.2037.</t>
  </si>
  <si>
    <t>A2/1/17/633</t>
  </si>
  <si>
    <t>Projekts "Asfaltbetona seguma atjaunošana, lietus ūdens kanalizācijas un ūdensvada tīklu nomaiņa Akadēmijas ielas posmā no Raiņa līdz Lielai ielai"</t>
  </si>
  <si>
    <t>25.10.2017.-20.10.2037.</t>
  </si>
  <si>
    <t>A2/1/17/774</t>
  </si>
  <si>
    <t>Projekts "Muzeja jumta skārda seguma nomaiņa un bēniņu pārseguma siltināšana"</t>
  </si>
  <si>
    <t>08.03.2018.-20.11.2037.</t>
  </si>
  <si>
    <t>A2/1/18/92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</si>
  <si>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</si>
  <si>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</si>
  <si>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</si>
  <si>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</si>
  <si>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</si>
  <si>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</si>
  <si>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</si>
  <si>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</si>
  <si>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</si>
  <si>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</si>
  <si>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</si>
  <si>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</si>
  <si>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</si>
  <si>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ERAF projekts ""Jelgavas pilsētas pašvaldības ēkas Zemgales prospekts 7 energoefektivitātes paaugstināšana" II kārta"</t>
  </si>
  <si>
    <t>07.08.2018.- 20.03.2048.</t>
  </si>
  <si>
    <t>A2/1/18/542</t>
  </si>
  <si>
    <t>Projekts "Asfaltbetona seguma izbūve Romas ielā posmā no Zemeņu ielas līdz Turaidas ielai"</t>
  </si>
  <si>
    <t>07.08.2018.- 22.03.2038.</t>
  </si>
  <si>
    <t>A2/1/18/543</t>
  </si>
  <si>
    <t>Projekts "Jelgavas Valsts ģimnāzijas pārbūves papilddarbi"</t>
  </si>
  <si>
    <t>30.08.2018.- 20.06.2038.</t>
  </si>
  <si>
    <t>A2/1/18/602</t>
  </si>
  <si>
    <t>Latvijas -  Lietuvas pārrobežu sadarbības programmas projekts "Civilās aizsardzības sistēmas pilnveidošana Jelgavas un Šauļu pilsētās (C-System)</t>
  </si>
  <si>
    <t>30.08.2018. - 20.06.2028</t>
  </si>
  <si>
    <t>A2/1/18/603</t>
  </si>
  <si>
    <t>Izglītības iestādes investīciju projekts "Jelgavas pilsētas pašvaldības PII "Gaismina" telpu vienkāršota atjaunošana"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</si>
  <si>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</si>
  <si>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</si>
  <si>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</si>
  <si>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</si>
  <si>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</si>
  <si>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</si>
  <si>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-20.09.2047.</t>
  </si>
  <si>
    <t>A2/1/18/736</t>
  </si>
  <si>
    <t>Lat -Lit pārrobežu sadarbības projekts "Tehniskās bāzes un operatīvo dienestu speciālistu fziskās kapacitātes uzlabošana Latvijas un Lietuvas pierobežas reģionā (All for safety)"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</si>
  <si>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</si>
  <si>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</si>
  <si>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</si>
  <si>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- 20.09.2038.</t>
  </si>
  <si>
    <t>A2/1/18/899</t>
  </si>
  <si>
    <t>ERAF projekts "Jelgavas lidlauka poldera dambja pārbūve plūdu draudu novēršanai"</t>
  </si>
  <si>
    <t>02.04.2019.- 22.03.2049.</t>
  </si>
  <si>
    <t>A2/1/19/84</t>
  </si>
  <si>
    <t>ERAF projekts "Jelgavas Amatu vidusskolas infrastruktūras uzlabošana un mācību aprīkojuma modernizācija, 2.kārta"</t>
  </si>
  <si>
    <t>17.05.2019.- 22.03.2049.</t>
  </si>
  <si>
    <t>A2/1/19/156</t>
  </si>
  <si>
    <t>ERAF projekts "Kompleksu pasākumu īstenošana Svētes upes caurplūdes atjaunošanai un plūdu apdraudējuma samazināšanai piegulošajās teritorijās"</t>
  </si>
  <si>
    <t>19.06.2019.- 22.03.2049.</t>
  </si>
  <si>
    <t>A2/1/19/231</t>
  </si>
  <si>
    <t>KF projekts "Loka maģistrāles pārbūve posmā no Kalnciema ceļa līdz Jelgavas administratīvajai robežai"</t>
  </si>
  <si>
    <t>18.09.2019.-22.03.2049.</t>
  </si>
  <si>
    <t>A2/1/19/337</t>
  </si>
  <si>
    <t>ERAF projekts "Tehniskās infrastruktūras sakārtošana uzņēmējdarbības attīstībai degradētajā teritorijā, 1.kārta"</t>
  </si>
  <si>
    <t>A2/1/19/339</t>
  </si>
  <si>
    <t>VB līdzfinansēts projekts "Miera ielas un Aizsargu ielas asfalta seguma atjaunošana un tilta pār Platones upi pārbūve"</t>
  </si>
  <si>
    <t>A2/1/19/340</t>
  </si>
  <si>
    <t>Projekts "Romas ielas asfaltbetona seguma izbūve no Turaidas ielas līdz pilsētas administratīvajai robežai"</t>
  </si>
  <si>
    <t>04.08.2020.-20.07.2040.</t>
  </si>
  <si>
    <t>A2/1/20/501</t>
  </si>
  <si>
    <t>A2/1/20/502</t>
  </si>
  <si>
    <t>EKII projekts "Siltumnīcefekta gāzu emisiju samazināšana ar viedajām pilsētvides tehnoloģijām Jelgavā"</t>
  </si>
  <si>
    <t>20.08.2020.-20.06.2050.</t>
  </si>
  <si>
    <t>A2/1/20/569</t>
  </si>
  <si>
    <t>Projekts "Pirmsskolas izglītības iestādes Brīvības bulvārī 31A, Jelgavā, būvniecība"</t>
  </si>
  <si>
    <t>02.10.2020.- 20.06.2050.</t>
  </si>
  <si>
    <t>A2/1/20/681</t>
  </si>
  <si>
    <t>Projekts "Asfaltbetona seguma atjaunošana Ruļļu ielas posmā no Salnas ielas līdz Viskaļu ielai"</t>
  </si>
  <si>
    <t>02.10.2020.-20.09.2040.</t>
  </si>
  <si>
    <t>A2/1/20/682</t>
  </si>
  <si>
    <t>Projekts "Gājēju ietves izbūve Kalnciema ceļa posmam no Rīgas ielas līdz Loka maģistrālei"</t>
  </si>
  <si>
    <t>02.10.2020.- 20.06.2040.</t>
  </si>
  <si>
    <t>A2/1/20/683</t>
  </si>
  <si>
    <t>03.12.2020.-20.11.2050.</t>
  </si>
  <si>
    <t>A2/1/20/846</t>
  </si>
  <si>
    <t>08.04.2021.-20.03.2051.</t>
  </si>
  <si>
    <t>A2/1/21/121</t>
  </si>
  <si>
    <t>ERAF projekts "Tehniskās infrastruktūras sakārtošana uzņēmējdarbības attīstībai degradētajā teritorijā, 2.kārta"</t>
  </si>
  <si>
    <t>01.06.2021- 20.03.2051.</t>
  </si>
  <si>
    <t>A2/1/21/261</t>
  </si>
  <si>
    <t>Projekts "Īres dzīvokļu izveidošana Stacijas ielā 13, Jelgavā"</t>
  </si>
  <si>
    <t>28.07.2021. - 20.07.2051.</t>
  </si>
  <si>
    <t>A2/1/21/423</t>
  </si>
  <si>
    <t>28.07.2021. - 22.07.2041.</t>
  </si>
  <si>
    <t>A2/1/21/424</t>
  </si>
  <si>
    <t>Projekts "Jelgavas pilsētas pašvaldības pirmsskolas izglītības iestādes "Pasaciņa" virtuves telpu atjaunošana"</t>
  </si>
  <si>
    <t>26.08.2021.-20.08.2041.</t>
  </si>
  <si>
    <t>A2/1/21/496</t>
  </si>
  <si>
    <t>A2/1/21/497</t>
  </si>
  <si>
    <t>A2/1/21/498</t>
  </si>
  <si>
    <t>26.08.2021.-20.06.2051.</t>
  </si>
  <si>
    <t>A2/1/21/499</t>
  </si>
  <si>
    <t>27.08.2021-20.08.2041.</t>
  </si>
  <si>
    <t>A2/1/21/513</t>
  </si>
  <si>
    <t>29.09.2021.-22.09.2031.</t>
  </si>
  <si>
    <t>A2/1/21/558</t>
  </si>
  <si>
    <t>Pašvaldības prioritārais investīciju projekts "Jaunrades nama "Junda" struktūrvienības "Lediņi" telpu vienkāršota atjaunošana, gāzes apgāde un teritorijas labiekārtošana, Lediņu ceļā 1, Jelgavā"</t>
  </si>
  <si>
    <t>27.10.2021.-21.10.2041.</t>
  </si>
  <si>
    <t>A2/1/21/648</t>
  </si>
  <si>
    <t>Projekts "Jaunrades nama "Junda" struktūrvienības "Lediņi" telpu vienkāršota atjaunošana, gāzes apgāde un teritorijas labiekārtošana, Lediņu ceļā 1, Jelgavā" (COVID)</t>
  </si>
  <si>
    <t>A2/1/21/649</t>
  </si>
  <si>
    <t>Būvprojekta "Industriālā parka ielu infrastruktūras izveide Jelgavā" izstrāde (COVID)</t>
  </si>
  <si>
    <t>26.11.2021-20.11.2026.</t>
  </si>
  <si>
    <t>A2/1/21/716</t>
  </si>
  <si>
    <t>Projekts "Tilta izbūve pār Platones upi Bauskas ielā, Jelgavā" (COVID)</t>
  </si>
  <si>
    <t>26.11.2021.-20.09.2046.</t>
  </si>
  <si>
    <t>A2/1/21/717</t>
  </si>
  <si>
    <t>23.12.2021.-21.12.2026.</t>
  </si>
  <si>
    <t>A2/1/21/774</t>
  </si>
  <si>
    <t>Prioritārais investīciju projekts "Lifta izbūve Jelgavas pilsētas bibliotēkā"</t>
  </si>
  <si>
    <t>28.03.2022.-20.03.2042.</t>
  </si>
  <si>
    <t>A2/1/22/58</t>
  </si>
  <si>
    <t xml:space="preserve">Latvijas – Lietuvas pārrobežu sadarbības programmas projekta (Nr.LLI-491) "Sociālajam riskam pakļauto bērnu un jauniešu integrācija Jelgavas un Šauļu pilsētas pašvaldībās (Risk Children)" </t>
  </si>
  <si>
    <t>A2/1/22/59</t>
  </si>
  <si>
    <t>Latvijas – Lietuvas pārrobežu sadarbības programmas projekta (Nr.LLI-464) "Kopīga pārrobežu tūrisma piedāvājuma "Saules ceļš" izveide"</t>
  </si>
  <si>
    <t>28.03.2022.-22.03.2032.</t>
  </si>
  <si>
    <t>A2/1/22/60</t>
  </si>
  <si>
    <t>ERAF projekta "Kultūras mantojuma saglabāšana un attīstība Jelgavas pilsētā"</t>
  </si>
  <si>
    <t>28.03.2022.-20.03.2052.</t>
  </si>
  <si>
    <t>A2/1/22/61</t>
  </si>
  <si>
    <t>ERAF projekts "Daudzfunkcionālā sociālo pakalpojumu centra ēkas Zirgu ielā 47a, Jelgavā, energoefektivitātes paaugstināšana"</t>
  </si>
  <si>
    <t>10.05.2022-20.03.2042.</t>
  </si>
  <si>
    <t>A2/1/22/92</t>
  </si>
  <si>
    <t>Prioritārais projekts "Jelgavas 4.sākumskolas automašīnu stāvlaukuma paplašināšana, teritorijas daļēja labiekārtošana, satiksmes drošības uzlabošana"</t>
  </si>
  <si>
    <t>10.05.2022.-20.03.2052.</t>
  </si>
  <si>
    <t>A2/1/22/93</t>
  </si>
  <si>
    <t>27.05.2022.-20.05.2042.</t>
  </si>
  <si>
    <t>A2/1/22/119</t>
  </si>
  <si>
    <t>27.06.2022-20.03.2052.</t>
  </si>
  <si>
    <t>A2/1/22/154</t>
  </si>
  <si>
    <t>Prioritārais investīciju projekts "Lifta izbūve Jelgavas pilsētas bibliotēkā" (sadārdzinājums)</t>
  </si>
  <si>
    <t>17.08.2022.-21.07.2042.</t>
  </si>
  <si>
    <t>A2/1/22/312</t>
  </si>
  <si>
    <t>Projekts "Jelgavas valstspilsētas pašvaldības iestādes "Jelgavas izglītības pārvalde" ēkas telpu vienkāršotā atjaunošana" (COVID)</t>
  </si>
  <si>
    <t>A2/1/22/313</t>
  </si>
  <si>
    <t>20.09.2022.-20.06.2052.</t>
  </si>
  <si>
    <t>A2/1/22/396</t>
  </si>
  <si>
    <t>Projekts "Tilta izbūve pār Platones upi Bauskas ielā, Jelgavā" - sadārdzinājums (COVID)</t>
  </si>
  <si>
    <t>18.10.2022.-20.09.2047..</t>
  </si>
  <si>
    <t>A2/1/22/438</t>
  </si>
  <si>
    <t>Projekts "Jelgavas valstspilsētas pašvaldības pirmsskolas izglītības iestādes "Lācītis" teritorijas labiekārtošana" (COVID)</t>
  </si>
  <si>
    <t>18.10.2022.-20.09.2032.</t>
  </si>
  <si>
    <t>A2/1/22/439</t>
  </si>
  <si>
    <t>Projekts "Jelgavas valstspilsētas pašvaldības pirmsskolas izglītības iestādes "Vārpiņa" iekštelpu remontdarbi" (COVID)</t>
  </si>
  <si>
    <t>A2/1/22/440</t>
  </si>
  <si>
    <t>Projekts "Jelgavas valstspilsētas pašvaldības pirmsskolas izglītības iestādes "Zemenīte" iekštelpu remontdarbi" (COVID)</t>
  </si>
  <si>
    <t>A2/1/22/441</t>
  </si>
  <si>
    <t>Projekts "Jelgavas valstspilsētas pašvaldības pirmsskolas izglītības iestādes "Zemenīte" žoga atjaunošana" (COVID)</t>
  </si>
  <si>
    <t>A2/1/22/442</t>
  </si>
  <si>
    <t>Latvijas – Lietuvas pārrobežu sadarbības programmas projekta (Nr.LLI-464) "Kopīga pārrobežu tūrisma piedāvājuma "Saules ceļš" izveide" - papildus līgumi</t>
  </si>
  <si>
    <t>04.11.2022.-20.10.2027.</t>
  </si>
  <si>
    <t>A2/1/22/484</t>
  </si>
  <si>
    <t>02.12.2022.-20.11.2052.</t>
  </si>
  <si>
    <t>A2/1/22/548</t>
  </si>
  <si>
    <t>ERAF projekts (Nr.4.2.2.0/21/A/039) "Ēkas daļas Svētes ielā 33, Jelgavā, energoefektivitātes paaugstināšana" (ZRKAC)</t>
  </si>
  <si>
    <t>projekts</t>
  </si>
  <si>
    <t>ERAF projekts "Sabiedrībā balstītu sociālo pakalpojumu infrastruktūras izveide Jelgavā" - Stacijas iela 13</t>
  </si>
  <si>
    <t xml:space="preserve">Kopā pamatsummu maksājumi         </t>
  </si>
  <si>
    <t xml:space="preserve">Kopā procentu maksājumi         </t>
  </si>
  <si>
    <t>Aizņēmumu saistības kopā</t>
  </si>
  <si>
    <t xml:space="preserve"> Saistību īpatsvars</t>
  </si>
  <si>
    <t>%</t>
  </si>
  <si>
    <t xml:space="preserve"> Saistību īpatsvars bez priekšfinansējuma atmaksām</t>
  </si>
  <si>
    <t>Aizņēmumu līgumsumma kopā</t>
  </si>
  <si>
    <t>Pašu ieņēmumi saistību īpatsvara aprēķinam</t>
  </si>
  <si>
    <t>Pamatsummu atmaksa 2023.g. pēc grafika</t>
  </si>
  <si>
    <t>Pamatsummu pieaugums pret iepriekšējo gadu</t>
  </si>
  <si>
    <t>Kopējo saistību pieaugums pret iepriekšējo gadu</t>
  </si>
  <si>
    <t>Galvojumi:</t>
  </si>
  <si>
    <t>SIA Jelgavas ūdens - Ūdenssaimniecība II kārta</t>
  </si>
  <si>
    <t>03.12.2010. - 20.12.2030.</t>
  </si>
  <si>
    <t>A/1/10/1025</t>
  </si>
  <si>
    <t>SIA Jelgavas ūdens - Ūdenssaimniecība III kārta</t>
  </si>
  <si>
    <t>18.12.2013. - 20.12.2030.</t>
  </si>
  <si>
    <t>G/13/1206</t>
  </si>
  <si>
    <t>SIA Jelgavas ūdens - Ūdenssaimniecības pakalpojumu attīstība Jelgavā, V kārta</t>
  </si>
  <si>
    <t>16.03.2020.-20.02.2050.</t>
  </si>
  <si>
    <t>G/20/86</t>
  </si>
  <si>
    <t>SIA "Jelgavas Poliklīnika" norobežojošo konstrukciju energoefektivitātes paaugstināšana</t>
  </si>
  <si>
    <t>10.02.2022.- 20.01.2042.</t>
  </si>
  <si>
    <t>G/22/20</t>
  </si>
  <si>
    <t>10.06.2022.-20.05.2042.</t>
  </si>
  <si>
    <t>G/22/147</t>
  </si>
  <si>
    <t>Galvojumu saistības kopā</t>
  </si>
  <si>
    <t>PAVISAM KOPĀ</t>
  </si>
  <si>
    <t>SAISTĪBAS KOPĀ:</t>
  </si>
  <si>
    <t>KF projekts "Videi draudzīgas sabiedriskā transporta inrastruktūras attīstība Jelgavā" - Riska likme</t>
  </si>
  <si>
    <t xml:space="preserve">ERAF projekts "Mācību vides uzlabošana Jelgavas Valsts ģimnāzijā un Jelgavas Tehnoloģiju vidusskolā" </t>
  </si>
  <si>
    <t>28.03.2023.-20.03.2053.</t>
  </si>
  <si>
    <t>A2/1/23/44</t>
  </si>
  <si>
    <t>04.510.534.</t>
  </si>
  <si>
    <t>Projekts "Aizsargu ielas seguma atjaunošana"</t>
  </si>
  <si>
    <t>06.404.</t>
  </si>
  <si>
    <t>Emisijas kvotu izsolīšanas instrumenta projekts "Situmnīcefekta gāzu emisiju samazināšana Jelgavas valstspilsētas pašvaldības publisko teritoriju apgaismojuma infrastruktūrā"</t>
  </si>
  <si>
    <t>09.219.10.</t>
  </si>
  <si>
    <t xml:space="preserve">Projekts “Jelgavas valstspilsētas pašvaldības izglītības iestādes “Jelgavas Centra pamatskolas” stadiona pārbūve” </t>
  </si>
  <si>
    <t>21.397.</t>
  </si>
  <si>
    <t>Iestādes saņemtā atlīdzība no apdrošināšanas sabiedrības par bojātu nekustamo īpašumu un kustamo mantu, tai skaitā autoavārijā cietušu automašīnu</t>
  </si>
  <si>
    <t>A2/1/23/66</t>
  </si>
  <si>
    <t>06.04.2023.-20.03.2033.</t>
  </si>
  <si>
    <t>A2/1/23/67</t>
  </si>
  <si>
    <t>06.04.2023.-20.03.2028.</t>
  </si>
  <si>
    <t>A2/1/23/68</t>
  </si>
  <si>
    <t>ERAF projekts (Nr.4.2.2.0/20/I/003) "Daudzfunkcionālā sociālo pakalpojumu centra Zirgu ielā 47A, Jelgavā energoefektivitātes paaugstināšana"</t>
  </si>
  <si>
    <t>A2/1/23/69</t>
  </si>
  <si>
    <t>ERAF projekts (Nr.4.2.2.0/21/A/040) "Jelgavas pamatskolas "Valdeka"-attīstības centra skolas ēkas energoefektivitātes paaugstināšana"</t>
  </si>
  <si>
    <t>06.04.2023.-20.03.2043.</t>
  </si>
  <si>
    <t>F21010000. Naudas līdzekļu atlikums uz perioda beigām</t>
  </si>
  <si>
    <t>F50010000. Akcijas un cita līdzdalība komersantu pašu kapitālā</t>
  </si>
  <si>
    <t>F40020000 Aizdevumu pamatsummu atmaksa</t>
  </si>
  <si>
    <t>7000. Uzturēšanas izdevumu transferti, pašu resursu maksājumi, starptautiskā sadarbība</t>
  </si>
  <si>
    <t>6000. Sociālie pabalsti</t>
  </si>
  <si>
    <t>5000. Pamatkapitāla veidošana</t>
  </si>
  <si>
    <t>4000. Procentu izdevumi</t>
  </si>
  <si>
    <t>3000. Subsīdijas un dotācijas</t>
  </si>
  <si>
    <t>2000. Preces un pakalpojumi</t>
  </si>
  <si>
    <t>1000. Atlīdzība</t>
  </si>
  <si>
    <t>Izdevumi kopā</t>
  </si>
  <si>
    <t>F50010000 Akcijas un cita līdzdalība komersantu pašu kapitālā</t>
  </si>
  <si>
    <t>F40320020 Saņemto ilgtermiņa aizņēmumu atmaksa</t>
  </si>
  <si>
    <t>10.921. Pabalsti ārkārtas gadījumos, citi pabalsti un maksājumi</t>
  </si>
  <si>
    <t>10.911. JVPI 'Jelgavas sociālo lietu pārvalde' darbības nodrošināšana</t>
  </si>
  <si>
    <t>10.713. Specializētās darbnīcas</t>
  </si>
  <si>
    <t>10.710. Sociālo pakalpojumu centrs bērniem</t>
  </si>
  <si>
    <t>10.707. Higiēnas centrs</t>
  </si>
  <si>
    <t>10.705.2. JSLP Naktspatversme</t>
  </si>
  <si>
    <t>10.704. GMI pabalsts, mirušo apbedīšanas izdevumi un citi naudas maksājumi maznodrošinātām un neaizsargātām personām</t>
  </si>
  <si>
    <t>10.701. Sociālā māja un sociālie dzīvokļi</t>
  </si>
  <si>
    <t>10.601. Mājokļa pabalsts un pabalsts individuālās apkures nodrošināšanai</t>
  </si>
  <si>
    <t>10.402. Sociālā palīdzība ģimenēm ar bērniem un vardarbībā cietušo bērnu rehabilitācija</t>
  </si>
  <si>
    <t>10.202. Palīdzība veciem cilvēkiem</t>
  </si>
  <si>
    <t>10.201. Sociālās un medicīniskās aprūpes centrs</t>
  </si>
  <si>
    <t>10.126. Atelpas brīdis</t>
  </si>
  <si>
    <t>10.125.1. DI Grupu dzīvokļi</t>
  </si>
  <si>
    <t>10.125. Grupu dzīvokļi</t>
  </si>
  <si>
    <t>10.124. Dienas centrs 'Atbalsts'</t>
  </si>
  <si>
    <t>10.123. Dienas centrs 'Integra'</t>
  </si>
  <si>
    <t>10.122. Dienas centrs 'Harmonija'</t>
  </si>
  <si>
    <t>10.121. Invalīdu rehabilitācijas pasākumi, invalīdu transporta izdevumi u.c. kompensācijas</t>
  </si>
  <si>
    <t>07.450. Veselības veicināšanas pasākumi</t>
  </si>
  <si>
    <t>07.300. Slimnīcu pakalpojumi</t>
  </si>
  <si>
    <t>07.200. Ambulatoro ārstniecības iestāžu darbība un pakalpojumi</t>
  </si>
  <si>
    <t>07.100. Ārstniecības līdzekļi</t>
  </si>
  <si>
    <t>17. JELGAVAS VALSTSPILSĒTAS PAŠVALDĪBAS IESTĀDE 'JELGAVAS SOCIĀLO LIETU PĀRVALDE'</t>
  </si>
  <si>
    <t>10.403. JVPI 'Jelgavas bāriņtiesa' darbības nodrošināšana</t>
  </si>
  <si>
    <t>16. JELGAVAS VALSTSPILSĒTAS PAŠVALDIBAS IESTĀDE 'JELGAVAS BĀRIŅTIESA'</t>
  </si>
  <si>
    <t>10.922. Braukšanas maksas atvieglojumi skolēniem sabiedriskajā transportā</t>
  </si>
  <si>
    <t>09.812.3. JVPI 'Jelgavas izglītības pārvalde' iekļaujošas izglītības atbalsta centrs</t>
  </si>
  <si>
    <t>09.812. JVPI 'Jelgavas izglītības pārvalde' projektu īstenošana</t>
  </si>
  <si>
    <t>09.811. JVPI 'Jelgavas izglītības pārvalde' darbības nodrošināšana</t>
  </si>
  <si>
    <t>09.640.2.Pārējo papildu pakalpojumu nodrošināšana izglītojamajiem Jelgavas Pārlielupes pamatskolas baseinā</t>
  </si>
  <si>
    <t>09.640.1. Asistentu pakalpojumu nodrošināšana</t>
  </si>
  <si>
    <t>09.630.1. Izglītojamo izmitināšanas pakalpojumu nodrošināšana Jelgavas pamatskolas 'Valdeka' - attīstības centra dienesta viesnīcā</t>
  </si>
  <si>
    <t>09.620.1. Izglītojamo ēdināšanas pakalpojumu nodrošināšana</t>
  </si>
  <si>
    <t>09.512. Jelgavas Mākslas skolas darbības nodrošināšana</t>
  </si>
  <si>
    <t>09.511. Pārējie interešu izglītības pasākumi, t.sk. Jaunrades nama 'Junda' darbības nodrošināšana</t>
  </si>
  <si>
    <t>09.222.3. Jelgavas Amatu vidusskolas projektu īstenošana - kopsavilkums</t>
  </si>
  <si>
    <t>09.222.2. Jelgavas Amatu vidusskolas darbības nodrošināšana</t>
  </si>
  <si>
    <t>09.219.10. Projekts 'Jelgavas valstspilsētas pašvaldības iestādes 'Jelgavas Centra pamatskola' stadiona pārbūve'</t>
  </si>
  <si>
    <t>09.219.3. Jelgavas vispārizglītojošo skolu projektu īstenošana</t>
  </si>
  <si>
    <t>09.219.2. Jelgavas speciālo skolu darbības nodrošināšana</t>
  </si>
  <si>
    <t>09.219.1. Jelgavas vispārizglītojošo skolu darbības nodrošināšana</t>
  </si>
  <si>
    <t>09.101. Jelgavas pirmsskolas izglītības iestāžu darbības nodrošināšana un speciālās pirmsskolas izglītības programma</t>
  </si>
  <si>
    <t>01.831. Transferti citām pašvaldībām izglītības funkciju nodrošināšanai</t>
  </si>
  <si>
    <t>15. JELGAVAS VALSTSPILSĒTAS PAŠVALDĪBAS IESTĀDE 'JELGAVAS IZGLĪTĪBAS PĀRVALDE'</t>
  </si>
  <si>
    <t>09.532. JVPI 'Zemgales reģiona kompetenču attīstības centrs' projektu īstenošana</t>
  </si>
  <si>
    <t>09.531. JVPI 'Zemgales reģiona kompetenču attīstības centrs' darbības nodrošināšana</t>
  </si>
  <si>
    <t>14. JELGAVAS VALSTSPILSĒTAS PAŠVALDĪBAS PROFESIONĀLĀS TĀLĀKIZGLĪTĪBAS IESTĀDE 'ZEMGALES REĢIONA KOMPETENČU ATTĪSTĪBAS CENTRS'</t>
  </si>
  <si>
    <t>08.621. JVPI 'Sabiedriskais centrs' darbības nodrošināšana</t>
  </si>
  <si>
    <t>13. JELGAVAS VALSTSPILSĒTAS PAŠVALDĪBAS IESTĀDE 'SABIEDRISKAIS CENTRS'</t>
  </si>
  <si>
    <t>08.402. Kultūras padomes finansētie pasākumi</t>
  </si>
  <si>
    <t>08.291. Dotācija Tautas mākslas kolektīvu darbības nodrošināšanai</t>
  </si>
  <si>
    <t>08.243. Dotācija Jelgavas Ā.Alunāna teātra darbības nodrošināšanai</t>
  </si>
  <si>
    <t>08.242. Jelgavas bigbenda darbības nodrošināšana</t>
  </si>
  <si>
    <t>08.232. JVPI 'Kultūra' pasākumi</t>
  </si>
  <si>
    <t>08.231. JVPI 'Kultūra' darbības nodrošināšana</t>
  </si>
  <si>
    <t>12. JELGAVAS VALSTSPILSĒTAS PAŠVALDĪBAS IESTĀDE 'KULTŪRA'</t>
  </si>
  <si>
    <t>08.221. JVPI 'Ģ.Eliasa Jelgavas Vēstures un mākslas muzejs' darbības nodrošināšana</t>
  </si>
  <si>
    <t>11. JELGAVAS VALSTSPILSĒTAS PAŠVALDĪBAS IESTĀDE 'Ģ.ELIASA JELGAVAS VĒSTURES UN MĀKSLAS MUZEJS'</t>
  </si>
  <si>
    <t>08.211. JVPI 'Jelgavas Pilsētas bibliotēka' darbības nodrošināšana</t>
  </si>
  <si>
    <t>10. JELGAVAS VALSTSPILSĒTAS PAŠVALDĪBAS IESTĀDE 'JELGAVAS PILSĒTAS BIBLIOTĒKA'</t>
  </si>
  <si>
    <t>09.513.3. Jelgavas Ledus sporta skola</t>
  </si>
  <si>
    <t>09.513.2. Jelgavas Specializētā peldēšanas skola</t>
  </si>
  <si>
    <t>09.513.1. Jelgavas Bērnu un jaunatnes sporta skola</t>
  </si>
  <si>
    <t>09.513. Jelgavas sporta skolu darbības nodrošināšana - kopsavilkums</t>
  </si>
  <si>
    <t>08.103. Dotācijas sporta pasākumiem</t>
  </si>
  <si>
    <t>08.101. JVPI 'Sporta servisa centrs' darbības nodrošināšana</t>
  </si>
  <si>
    <t>09. JELGAVAS VALSTSPILSĒTAS PAŠVALDĪBAS IESTĀDE 'SPORTA SERVISA CENTRS'</t>
  </si>
  <si>
    <t>10.504. Atbalsts Bezdarba gadījumā</t>
  </si>
  <si>
    <t>06.602. Pašvaldības teritorijas, mežu un kapsētu apsaimniekošana</t>
  </si>
  <si>
    <t>06.601. JVPI 'Pilsētsaimniecība' darbības nodrošināšana</t>
  </si>
  <si>
    <t>06.401. Ielu apgaismošana</t>
  </si>
  <si>
    <t>05.202. Notekūdeņu apsaimniekošana</t>
  </si>
  <si>
    <t>05.101. Ielu, laukumu, publisko dārzu un parku tīrīšana, atkritumu savākšana</t>
  </si>
  <si>
    <t>04.511. Ceļu un ielu infrastruktūras funkcionēšana, būvniecība un uzturēšana</t>
  </si>
  <si>
    <t>08. JELGAVAS VALSTSPILSĒTAS PAŠVALDĪBAS IESTĀDE 'PILSĒTSAIMNIECĪBA'</t>
  </si>
  <si>
    <t>04.733. JVPI 'Jelgavas reģionālais tūrisma centrs' darbības nodrošināšana</t>
  </si>
  <si>
    <t>07. JELGAVAS VALSTSPILSĒTAS PAŠVALDĪBAS IESTĀDE 'JELGAVAS REĢIONĀLAIS TŪRISMA CENTRS'</t>
  </si>
  <si>
    <t>04.746. 'Apvārsnis 2020' programmas projekts 'Impetus'</t>
  </si>
  <si>
    <t>04.745. 'Apvārsnis 2020' programmas projekts 'Wellbased'</t>
  </si>
  <si>
    <t>03.202. Pašvaldības operatīvais informācijas centrs un civilā aizsardzība</t>
  </si>
  <si>
    <t>01.333. JVPI 'Jelgavas digitālais centrs' darbības nodrošināšana</t>
  </si>
  <si>
    <t>01.331. Centralizēto datoru un datortīklu uzturēšana</t>
  </si>
  <si>
    <t>06. JELGAVAS VALSTSPILSĒTAS PAŠVALDĪBAS IESTĀDE 'JELGAVAS DIGITĀLAIS CENTRS'</t>
  </si>
  <si>
    <t>03.111. JVPI 'Jelgavas pašvaldības policija' darbības nodrošināšana</t>
  </si>
  <si>
    <t>05. JELGAVAS VALSTSPILSĒTAS PAŠVALDĪBAS IESTĀDE 'JELGAVAS PAŠVALDĪBAS POLICIJA'</t>
  </si>
  <si>
    <t>01.123. JVPI 'Pašvaldības iestāžu centralizētā grāmatvedība' darbības nodrošināšana</t>
  </si>
  <si>
    <t>04. JELGAVAS VALSTSPILSĒTAS PAŠVALDĪBAS IESTĀDE 'PAŠVALDĪBAS IESTĀŽU CENTRALIZĒTĀ GRĀMATVEDĪBA'</t>
  </si>
  <si>
    <t>10.924. Atbalsts mājsaimniecībām energoresursu izdevumu kompensēšanai</t>
  </si>
  <si>
    <t>09.522. Nodibinājums 'J.Bisenieka atbalsta fonds'</t>
  </si>
  <si>
    <t>09.521. Nodibinājums 'Izglītības atbalsta fonds'</t>
  </si>
  <si>
    <t>08.405. Dotācijas biedrībām un nodibinājumiem</t>
  </si>
  <si>
    <t>08.403. Nodibinājums 'Atbalsts kultūrai Jelgavā'</t>
  </si>
  <si>
    <t>08.401. Dotācijas projektu realizācijai NVO</t>
  </si>
  <si>
    <t>08.105. Nodibinājums 'Sporta tālākizglītības atbalsta fonds'</t>
  </si>
  <si>
    <t>07.623. Fonds 'Jelgavnieku veselības veicināšanas fonds'</t>
  </si>
  <si>
    <t>06.603. Pašvaldības īpašumu apsaimniekošana - finansējums SIA 'Jelgavas nekustamā īpašuma pārvalde'</t>
  </si>
  <si>
    <t>05.303. Finansējums pašvaldības kapitālsabiedrībām vides aizsardzības pasākumu īstenošanai</t>
  </si>
  <si>
    <t>05.102.  Pilsētas sanitārā tīrīšana - SIA 'Zemgales EKO' funkcija</t>
  </si>
  <si>
    <t>04.917. Jelgavas valstspilsētas pašvaldības grantu programma 'Atbalsts komersantiem un saimnieciskās darbības veicējiem'</t>
  </si>
  <si>
    <t>04.909. Dotācija Zemgales plānošanas reģionam</t>
  </si>
  <si>
    <t>04.515. Sabiedriskā transporta pakalpojumu nodrošināšana Jelgavas valstspilsētas administratīvajā teritorijā</t>
  </si>
  <si>
    <t>01.890.  Līdzekļi neparedzētiem gadījumiem</t>
  </si>
  <si>
    <t>01.721. Parāda procentu nomaksa</t>
  </si>
  <si>
    <t>01.122. Pašvaldības ieņēmumu un izdevumu administrēšana, revidentu pakalpojumi</t>
  </si>
  <si>
    <t>03. JELGAVAS VALSTSPILSĒTAS PAŠVALDĪBAS IESTĀDES 'CENTRĀLĀ PĀRVALDE' FINANŠU DEPARTAMENTS</t>
  </si>
  <si>
    <t>01.117. Jelgavas valstspilsētas pašvaldības un Jelgavas novada pašvaldības kopīgās iestādes 'Jelgavas valstspilsētas un novada Dzimtsarakstu nodaļa'</t>
  </si>
  <si>
    <t>02. JELGAVAS VALSTSPILSĒTAS PAŠVALDĪBAS UN JELGAVAS NOVADA PAŠVALDĪBAS KOPĪGĀ IESTĀDE 'JELGAVAS VALSTSPILSĒTAS UN NOVADA DZIMTSARAKSTU NODAĻA'</t>
  </si>
  <si>
    <t>10.712. ERAF projekts 'Daudzfunkcionālā sociālo pakalpojumu centra ēkas Zirgu ielā 47a, Jelgavā, energoefektivitātes paaugstināšana'</t>
  </si>
  <si>
    <t>10.711. Projekts - 'Sabiedrībā balstītu sociālo pakalpojumu infrastruktūras izveide Jelgavā'</t>
  </si>
  <si>
    <t>10.127. ESF projekts - 'Atver sirdi Zemgalē'</t>
  </si>
  <si>
    <t>09.823. Projekts 'Uzņēmējdarbības atbalsta pasākumi Zemgales plānošanas reģionā'</t>
  </si>
  <si>
    <t>09.535. ERAF projekts 'Ēkas daļas Svētes ielā 33, Jelgavā energoefektivitātes paaugstināšana'</t>
  </si>
  <si>
    <t>09.534. ESF projekts - 'Nodarbināto personu profesionālās kompetences pilnveide'</t>
  </si>
  <si>
    <t>09.533. ESF projekts - 'Proti un dari'</t>
  </si>
  <si>
    <t>09.519.05. Pašvaldības investīciju projekts 'Jelgavas Bērnu un jaunatnes sporta skolas infrastruktūras attīstība'</t>
  </si>
  <si>
    <t>09.519.04. Latvijas - Lietuvas pārrobežu sadarbības programmas projekts 'Sociālajam riskam pakļauto bērnu un jauniešu integrācija Jelgavas un Šauļu pilsētas pašvaldībās'</t>
  </si>
  <si>
    <t>09.219.9. ERAF projekts - 'Jelgavas pamatskolas 'Valdeka'-attīstības centra skolas ēkas energoefektivitātes paaugstināšana'</t>
  </si>
  <si>
    <t>09.219.8. ERAF projekts - 'Jelgavas pilsētas pašvaldības izglītības iestādes 'Jelgavas Tehnoloģiju vidusskola' energoefektivitātes paaugstināšana'</t>
  </si>
  <si>
    <t>09.219.5. ERAF projekts - 'Mācību vides uzlabošana Jelgavas Valsts ģimnāzijā un Jelgavas Tehnoloģiju vidusskolā'</t>
  </si>
  <si>
    <t>09.111. Projekts - 'Ēkas pārbūve par pirmskolas izglītības iestādi Brīvības bulvārī 31 A, Jelgavā'</t>
  </si>
  <si>
    <t>08.292. Pilsētas nozīmes pasākumi</t>
  </si>
  <si>
    <t>07.452. ESF projekts - 'Veselības veicināša Jelgavā'</t>
  </si>
  <si>
    <t>06.607. Pašvaldības līdzfinansējums energoefektivitātes paaugstināšanas pasākumu veikšanai daudzdzīvokļu dzīvojamās mājās</t>
  </si>
  <si>
    <t>06.606. Ar pašvaldības teritoriju saistīto normatīvo aktu un standartu sagatavošana un ieviešana</t>
  </si>
  <si>
    <t>06.604. Pašvaldības dzīvokļu pārvaldīšana, remonts, veco māju nojaukšana</t>
  </si>
  <si>
    <t>06.201. Projektu sagatavošana un teritoriju attīstība</t>
  </si>
  <si>
    <t>04.901. Zemes reformas darbība, zemes īpašuma un lietošanas tiesību pārveidošana</t>
  </si>
  <si>
    <t>04.744. ERAF projekts 'Pilssalas ielas degradētās teritorijas sakārtošana'</t>
  </si>
  <si>
    <t>04.739. ERAF projekts 'Kultūras mantojuma saglabāšana un attīstība Jelgavas pilsētā'</t>
  </si>
  <si>
    <t>04.738. Latvijas - Lietuvas pārrobežu sadarbības programmas projekts 'Kopīga pārrobežu tūrisma piedāvājuma 'Saules ceļš' izveide'</t>
  </si>
  <si>
    <t>04.737. ERAF projekts - 'Nozīmīga kultūrvēsturiskā mantojuma saglabāšana un attīstība kultūras tūrisma piedāvājuma pilnveidošanai Zemgales reģionā'</t>
  </si>
  <si>
    <t>04.510.533. ERAF projekts 'Tehniskās infrastruktūras sakārtošana uzņēmējdarbības attīstībai Rubeņu ceļa rūpnieciskajā teritorijā'</t>
  </si>
  <si>
    <t>01.116. Projekts - 'Ēkas Pasta ielā 32, Jelgavā, pārbūve par dzimtsarakstu nodaļu'</t>
  </si>
  <si>
    <t>01.113. Projekts - 'Komunikācija ar sabiedrību tās iesaistei pašvaldības lēmumu pieņemšanā'</t>
  </si>
  <si>
    <t>01.111. Izpildvaras institūcija</t>
  </si>
  <si>
    <t>01. JELGAVAS VALSTSPILSĒTAS PAŠVALDĪBAS IESTĀDE 'CENTRĀLĀ PĀRVALDE'</t>
  </si>
  <si>
    <t>Nosaukums</t>
  </si>
  <si>
    <t>Grozījumi 
+ vai -</t>
  </si>
  <si>
    <t>18.05.2023.-20.04.2033.</t>
  </si>
  <si>
    <t>A2/1/23/108</t>
  </si>
  <si>
    <t>09.06.2023.-20.05.2053.</t>
  </si>
  <si>
    <t>A2/1/23/136</t>
  </si>
  <si>
    <t>Galvojumu pirmstermiņa atmaksas uz 27.07.2023.</t>
  </si>
  <si>
    <t>Galvojumu pamatsummu atmaksa pēc grafika</t>
  </si>
  <si>
    <t>SIA "Jelgavas  ūdens" - 04.510.533. ERAF projekts "Tehniskās infrastruktūras sakārtošana uzņēmējdarbības attīstībai Rubeņu ceļa rūpnieciskajā teritorijā"</t>
  </si>
  <si>
    <t>Projekts "Iebraucamā ceļa pārbūve no Zirgu ielas līdz Jelgavas 4.sākumskolai"</t>
  </si>
  <si>
    <t>04.510.535.</t>
  </si>
  <si>
    <t>04.510.535. Projekts 'Iebraucamā ceļa pārbūve no Zirgu ielas līdz Jelgavas 4.sākumskolai'</t>
  </si>
  <si>
    <t>04.510.534. Projekts 'Aizsargu ielas seguma atjaunošana'</t>
  </si>
  <si>
    <t>18. FINANSĒŠANA</t>
  </si>
  <si>
    <t>Projekts "Jelgavas valstspilsētas pašvaldības izglītības iestādes "Jelgavas Pārlielupes pamatskola" jumta seguma nomaiņa"</t>
  </si>
  <si>
    <t>Būvprojekta "Jelgavas Spīdolas Valsts ģimnāzijas bibliotēkas jaunbūves, sporta stadiona pārbūves un teritorijas labiekārtošana" izstrāde</t>
  </si>
  <si>
    <t>Projekts "Pirmsskolas izglītības iestādes "Kamolītis"telpu vienkāršotā atjaunošana un virtuves iekārtu piegāde, uzstādīšana"</t>
  </si>
  <si>
    <t>Projekts "Pirmsskolas izglītības iestādes "Sprīdītis"garāžas un palīgtelpu pārbūve  par PII grupas telpām Skolas ielā "2, Jelgavā"</t>
  </si>
  <si>
    <t>Projekts "Jelgavas valstspilsētas pašvaldības pirmsskolas izglītības iestādes "Gaismiņa" katlu mājas pārbūve par saimniecības ēku"</t>
  </si>
  <si>
    <t>Projekts "Jelgavas Centra pamatskola" telpu vienkārōstā atjaunošana un virtuves iekārtu piegāde, uzstādīšana"</t>
  </si>
  <si>
    <t>PAVISAM KOPĀ:</t>
  </si>
  <si>
    <t>04.510.536.</t>
  </si>
  <si>
    <t>04.510.536. Projekts '2., 3.līnijas un Nameja ielas posma Jelgavā pārbūve'</t>
  </si>
  <si>
    <t>06.404. Emisijas kvotu izsolīšanas instrumenta projekts - 'Situmnīcefekta gāzu emisiju samazināšana Jelgavas valstspilsētas pašvaldības publisko teritoriju apgaismojuma infrastruktūrā'</t>
  </si>
  <si>
    <t>Projekts "2., 3.līnijas un Nameja ielas posma Jelgavā pārbūve"</t>
  </si>
  <si>
    <t>Precizētais plāns uz 24.08.2023., EUR</t>
  </si>
  <si>
    <t>Precizētais plāns uz 24.08.2023.</t>
  </si>
  <si>
    <t>Priekšfinansējuma atmaksas uz 24.08.2023.</t>
  </si>
  <si>
    <t>Plānotās priekšfinansējuma atmaksas uz 24.08.2023.</t>
  </si>
  <si>
    <t>AS "SEB banka"</t>
  </si>
  <si>
    <t>03.08.2023.-25.07.2030.</t>
  </si>
  <si>
    <t>A2/1/23/253</t>
  </si>
  <si>
    <t>09.08.2023.-20.07.2045.</t>
  </si>
  <si>
    <t>1. pielikums</t>
  </si>
  <si>
    <t>24.08.2023. prot. Nr. 9/1</t>
  </si>
  <si>
    <t>JELGAVAS VALSTSPILSĒTAS PAŠVALDĪBAS 
2023. GADA BUDŽETS</t>
  </si>
  <si>
    <r>
      <rPr>
        <sz val="9"/>
        <rFont val="Times New Roman"/>
        <family val="1"/>
      </rPr>
      <t xml:space="preserve">saistošajiem noteikumiem </t>
    </r>
    <r>
      <rPr>
        <sz val="10"/>
        <rFont val="Times New Roman"/>
        <family val="1"/>
      </rPr>
      <t>Nr. 23-10</t>
    </r>
  </si>
  <si>
    <r>
      <t xml:space="preserve">Jelgavas valstspilsētas pašvaldības domes priekšsēdētājs </t>
    </r>
    <r>
      <rPr>
        <i/>
        <sz val="11"/>
        <rFont val="Times New Roman"/>
        <family val="1"/>
      </rPr>
      <t>A. Rāviņš</t>
    </r>
  </si>
  <si>
    <r>
      <t xml:space="preserve">Jelgavas valstspilsētas pašvaldības domes priekšsēdētājs </t>
    </r>
    <r>
      <rPr>
        <i/>
        <sz val="14"/>
        <rFont val="Times New Roman"/>
        <family val="1"/>
      </rPr>
      <t>A. Rāviņš</t>
    </r>
  </si>
  <si>
    <r>
      <t xml:space="preserve">Jelgavas valstspilsētas pašvaldības domes priekšsēdētājs </t>
    </r>
    <r>
      <rPr>
        <i/>
        <sz val="10"/>
        <rFont val="Arial"/>
        <family val="2"/>
      </rPr>
      <t>A. Rāviņš</t>
    </r>
  </si>
  <si>
    <t>SIA "Jelgavas komunālie pakalpojumi" - projektam "Bioloģiski noārdāmo atkritumu pātrstrādes laikuma izbūve" un ERAF projektam "Tādu bioloģiski noārdāmo atkritumu pāstrādes iekārtu izveide poligonā "Brakšķi", kas izmanto anaerobo pārstrādes metodi"</t>
  </si>
  <si>
    <t>Projekts "Satiksmes ielas posma no Meiju ceļa līdz Ganību ielai braucamās daļas seguma atjaunošana"</t>
  </si>
  <si>
    <t>ERAF projekts "Jelgavas pilsētas pašvaldības policijas ēkas energoefektivitātes paaugstināšana"</t>
  </si>
  <si>
    <t>ERAF projekts "Jelgavas pašvaldības operatīvās informācijas centra ēkas Sarmas ielā 4 energoefektivitātes paaugstināšana"</t>
  </si>
  <si>
    <t xml:space="preserve">ERAF projekts Jelgavas pilsētas pašvaldības izglītības iestādes  "Jelgavas Tehnoloģiju vidusskola" energoefektivitātes paaugstināšana" </t>
  </si>
  <si>
    <t>ERAF projekts "Tehniskās infrastruktūras sakārtošana uzņēmējdarbības attīstībai degradētajā teritorijā, 3.kārta"</t>
  </si>
  <si>
    <t>Būvprojektu"Miera ielas un esošā Miera ielas, Aizsargu ielas un Bauskas ielas rotācijas apļa pārbūve, Jelgavā", "Aizsargu ielas pārbūve, Jelgavā" un "Bauskas ielas pārbūve, Jelgavā" izstrāde (COVID)</t>
  </si>
  <si>
    <t>ERAF projekts"Jelgavas pašvaldības operatīvās informācijas centra ēkas Sarmas ielā 4 energoefektivitātes paaugstināšana"</t>
  </si>
  <si>
    <t xml:space="preserve">ERAF Projekts "Pilssalas ielas degradētās teritorijas sakārtošana"  </t>
  </si>
  <si>
    <t xml:space="preserve">Projekts "Jelgavas valstspilsētas pašvaldības izglītības iestādes "Jelgavas Centra pamatskolas" stadiona pārbūve" </t>
  </si>
  <si>
    <t>saistošajiem noteikumiem Nr. 23-10</t>
  </si>
  <si>
    <t>4. pielikums</t>
  </si>
  <si>
    <t>JELGAVAS VALSTSPILSĒTAS PAŠVALDĪBAS 2023. GADA PAMATBUDŽETS ATŠIFRĒJUMĀ PA PROGRAMMĀM UN EKONOMISKĀS KLASIFIKĀCIJAS KODIEM</t>
  </si>
  <si>
    <t>2023. gada plāns</t>
  </si>
  <si>
    <t>3. pielikums</t>
  </si>
  <si>
    <t>JELGAVAS VALSTSPILSĒTAS PAŠVALDĪBAS 2023. GADA BUDŽETS</t>
  </si>
  <si>
    <t>2. pielikums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</si>
</sst>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00%"/>
    <numFmt numFmtId="174" formatCode="_-* #,##0\ _L_s_-;\-* #,##0\ _L_s_-;_-* &quot;-&quot;??\ _L_s_-;_-@_-"/>
    <numFmt numFmtId="175" formatCode="#,##0.00_ ;\-#,##0.00\ "/>
    <numFmt numFmtId="176" formatCode="#,##0.0"/>
    <numFmt numFmtId="177" formatCode="#,##0.000"/>
    <numFmt numFmtId="178" formatCode="0.0%"/>
    <numFmt numFmtId="179" formatCode="0.0000%"/>
    <numFmt numFmtId="180" formatCode="#,##0.0000"/>
    <numFmt numFmtId="181" formatCode="_-* #,##0.0\ _L_s_-;\-* #,##0.0\ _L_s_-;_-* &quot;-&quot;??\ _L_s_-;_-@_-"/>
    <numFmt numFmtId="182" formatCode="_-* #,##0.00\ _L_s_-;\-* #,##0.00\ _L_s_-;_-* &quot;-&quot;??\ _L_s_-;_-@_-"/>
    <numFmt numFmtId="183" formatCode="_-* #,##0.000\ _L_s_-;\-* #,##0.000\ _L_s_-;_-* &quot;-&quot;??\ _L_s_-;_-@_-"/>
    <numFmt numFmtId="184" formatCode="[$-426]dddd\,\ yyyy&quot;. gada &quot;d\.\ mmmm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0"/>
      <name val="Times New Roman Baltic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 Baltic"/>
      <family val="1"/>
    </font>
    <font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.5"/>
      <color indexed="10"/>
      <name val="Arial"/>
      <family val="2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rgb="FFFF0000"/>
      <name val="Times New Roman Baltic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7.5"/>
      <color rgb="FFFF0000"/>
      <name val="Arial"/>
      <family val="2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C5E9"/>
        <bgColor indexed="64"/>
      </patternFill>
    </fill>
    <fill>
      <patternFill patternType="solid">
        <fgColor rgb="FFC1B8E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thin"/>
      <bottom style="hair"/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 style="thin">
        <color theme="0" tint="-0.24993999302387238"/>
      </top>
      <bottom style="double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/>
      <bottom style="double"/>
    </border>
    <border>
      <left style="thin"/>
      <right style="thin"/>
      <top style="double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hair"/>
      <right/>
      <top style="hair"/>
      <bottom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/>
      <right/>
      <top/>
      <bottom/>
    </border>
    <border>
      <left style="hair"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double"/>
    </border>
    <border>
      <left>
        <color indexed="63"/>
      </left>
      <right>
        <color indexed="63"/>
      </right>
      <top style="thin">
        <color theme="0" tint="-0.24993999302387238"/>
      </top>
      <bottom style="double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indexed="22"/>
      </left>
      <right>
        <color indexed="63"/>
      </right>
      <top style="double"/>
      <bottom style="thin"/>
    </border>
    <border>
      <left>
        <color indexed="63"/>
      </left>
      <right style="thin">
        <color indexed="22"/>
      </right>
      <top style="double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theme="0" tint="-0.24993999302387238"/>
      </left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>
        <color indexed="22"/>
      </left>
      <right/>
      <top style="thin"/>
      <bottom style="thin"/>
    </border>
    <border>
      <left/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57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84" fillId="0" borderId="0" xfId="0" applyFont="1" applyAlignment="1">
      <alignment/>
    </xf>
    <xf numFmtId="0" fontId="6" fillId="9" borderId="10" xfId="0" applyFont="1" applyFill="1" applyBorder="1" applyAlignment="1">
      <alignment vertical="center"/>
    </xf>
    <xf numFmtId="0" fontId="7" fillId="9" borderId="10" xfId="0" applyFont="1" applyFill="1" applyBorder="1" applyAlignment="1">
      <alignment horizontal="center" vertical="center" wrapText="1"/>
    </xf>
    <xf numFmtId="3" fontId="7" fillId="9" borderId="10" xfId="0" applyNumberFormat="1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 wrapText="1"/>
    </xf>
    <xf numFmtId="3" fontId="4" fillId="9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 indent="2"/>
    </xf>
    <xf numFmtId="3" fontId="9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2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right" vertical="center"/>
    </xf>
    <xf numFmtId="0" fontId="8" fillId="7" borderId="10" xfId="0" applyFont="1" applyFill="1" applyBorder="1" applyAlignment="1">
      <alignment horizontal="left" vertical="center" wrapText="1" indent="2"/>
    </xf>
    <xf numFmtId="3" fontId="9" fillId="7" borderId="10" xfId="0" applyNumberFormat="1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/>
    </xf>
    <xf numFmtId="3" fontId="4" fillId="9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172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7" fillId="9" borderId="10" xfId="0" applyFont="1" applyFill="1" applyBorder="1" applyAlignment="1">
      <alignment vertical="center"/>
    </xf>
    <xf numFmtId="0" fontId="10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3" fillId="9" borderId="10" xfId="0" applyFont="1" applyFill="1" applyBorder="1" applyAlignment="1">
      <alignment vertical="center"/>
    </xf>
    <xf numFmtId="0" fontId="3" fillId="9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9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 wrapText="1"/>
    </xf>
    <xf numFmtId="3" fontId="5" fillId="9" borderId="10" xfId="0" applyNumberFormat="1" applyFont="1" applyFill="1" applyBorder="1" applyAlignment="1">
      <alignment vertical="center"/>
    </xf>
    <xf numFmtId="3" fontId="14" fillId="9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5" fillId="0" borderId="12" xfId="0" applyFont="1" applyBorder="1" applyAlignment="1">
      <alignment wrapText="1"/>
    </xf>
    <xf numFmtId="0" fontId="84" fillId="0" borderId="0" xfId="0" applyFont="1" applyAlignment="1">
      <alignment/>
    </xf>
    <xf numFmtId="3" fontId="84" fillId="0" borderId="0" xfId="0" applyNumberFormat="1" applyFont="1" applyAlignment="1">
      <alignment/>
    </xf>
    <xf numFmtId="0" fontId="84" fillId="0" borderId="0" xfId="0" applyFont="1" applyFill="1" applyAlignment="1">
      <alignment/>
    </xf>
    <xf numFmtId="0" fontId="84" fillId="0" borderId="0" xfId="0" applyFont="1" applyAlignment="1">
      <alignment horizontal="center"/>
    </xf>
    <xf numFmtId="0" fontId="84" fillId="0" borderId="0" xfId="0" applyFont="1" applyFill="1" applyAlignment="1">
      <alignment/>
    </xf>
    <xf numFmtId="0" fontId="85" fillId="0" borderId="0" xfId="0" applyFont="1" applyAlignment="1">
      <alignment/>
    </xf>
    <xf numFmtId="0" fontId="8" fillId="7" borderId="10" xfId="0" applyFont="1" applyFill="1" applyBorder="1" applyAlignment="1">
      <alignment horizontal="right" vertical="center" wrapText="1"/>
    </xf>
    <xf numFmtId="0" fontId="8" fillId="7" borderId="10" xfId="0" applyFont="1" applyFill="1" applyBorder="1" applyAlignment="1">
      <alignment horizontal="left" wrapText="1" indent="2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7" borderId="10" xfId="0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 wrapText="1" indent="2"/>
    </xf>
    <xf numFmtId="3" fontId="13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0" fontId="84" fillId="0" borderId="0" xfId="0" applyFont="1" applyAlignment="1">
      <alignment wrapText="1"/>
    </xf>
    <xf numFmtId="0" fontId="86" fillId="0" borderId="0" xfId="0" applyFont="1" applyAlignment="1">
      <alignment/>
    </xf>
    <xf numFmtId="0" fontId="87" fillId="7" borderId="10" xfId="0" applyFont="1" applyFill="1" applyBorder="1" applyAlignment="1">
      <alignment horizontal="right" vertical="center"/>
    </xf>
    <xf numFmtId="0" fontId="87" fillId="7" borderId="10" xfId="0" applyFont="1" applyFill="1" applyBorder="1" applyAlignment="1">
      <alignment horizontal="left" vertical="center" wrapText="1" indent="2"/>
    </xf>
    <xf numFmtId="3" fontId="88" fillId="7" borderId="10" xfId="0" applyNumberFormat="1" applyFont="1" applyFill="1" applyBorder="1" applyAlignment="1">
      <alignment vertical="center"/>
    </xf>
    <xf numFmtId="3" fontId="89" fillId="7" borderId="10" xfId="0" applyNumberFormat="1" applyFont="1" applyFill="1" applyBorder="1" applyAlignment="1">
      <alignment vertical="center"/>
    </xf>
    <xf numFmtId="3" fontId="87" fillId="7" borderId="10" xfId="0" applyNumberFormat="1" applyFont="1" applyFill="1" applyBorder="1" applyAlignment="1">
      <alignment vertical="center"/>
    </xf>
    <xf numFmtId="0" fontId="88" fillId="7" borderId="10" xfId="0" applyFont="1" applyFill="1" applyBorder="1" applyAlignment="1">
      <alignment vertical="center"/>
    </xf>
    <xf numFmtId="0" fontId="88" fillId="7" borderId="10" xfId="0" applyFont="1" applyFill="1" applyBorder="1" applyAlignment="1">
      <alignment vertical="center" wrapText="1"/>
    </xf>
    <xf numFmtId="3" fontId="90" fillId="7" borderId="10" xfId="0" applyNumberFormat="1" applyFont="1" applyFill="1" applyBorder="1" applyAlignment="1">
      <alignment vertical="center"/>
    </xf>
    <xf numFmtId="3" fontId="89" fillId="7" borderId="10" xfId="0" applyNumberFormat="1" applyFont="1" applyFill="1" applyBorder="1" applyAlignment="1">
      <alignment horizontal="right" vertical="center"/>
    </xf>
    <xf numFmtId="3" fontId="87" fillId="7" borderId="10" xfId="0" applyNumberFormat="1" applyFont="1" applyFill="1" applyBorder="1" applyAlignment="1">
      <alignment horizontal="right" vertical="center"/>
    </xf>
    <xf numFmtId="0" fontId="89" fillId="0" borderId="0" xfId="0" applyFont="1" applyAlignment="1">
      <alignment/>
    </xf>
    <xf numFmtId="0" fontId="89" fillId="0" borderId="0" xfId="0" applyFont="1" applyAlignment="1">
      <alignment wrapText="1"/>
    </xf>
    <xf numFmtId="0" fontId="8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84" fillId="0" borderId="0" xfId="0" applyFont="1" applyAlignment="1">
      <alignment vertic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 indent="2"/>
    </xf>
    <xf numFmtId="0" fontId="2" fillId="7" borderId="10" xfId="0" applyFont="1" applyFill="1" applyBorder="1" applyAlignment="1">
      <alignment horizontal="left" wrapText="1" indent="2"/>
    </xf>
    <xf numFmtId="3" fontId="87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85" fillId="0" borderId="0" xfId="0" applyFont="1" applyAlignment="1">
      <alignment horizontal="right"/>
    </xf>
    <xf numFmtId="3" fontId="17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7" borderId="10" xfId="0" applyNumberFormat="1" applyFont="1" applyFill="1" applyBorder="1" applyAlignment="1">
      <alignment vertical="center"/>
    </xf>
    <xf numFmtId="3" fontId="85" fillId="0" borderId="0" xfId="0" applyNumberFormat="1" applyFont="1" applyAlignment="1">
      <alignment/>
    </xf>
    <xf numFmtId="0" fontId="88" fillId="7" borderId="10" xfId="0" applyFont="1" applyFill="1" applyBorder="1" applyAlignment="1">
      <alignment horizontal="left" vertical="center"/>
    </xf>
    <xf numFmtId="0" fontId="88" fillId="7" borderId="10" xfId="0" applyFont="1" applyFill="1" applyBorder="1" applyAlignment="1">
      <alignment horizontal="left" vertical="center" wrapText="1"/>
    </xf>
    <xf numFmtId="0" fontId="87" fillId="7" borderId="10" xfId="0" applyFont="1" applyFill="1" applyBorder="1" applyAlignment="1">
      <alignment horizontal="right" vertical="center" wrapText="1"/>
    </xf>
    <xf numFmtId="0" fontId="91" fillId="7" borderId="10" xfId="0" applyFont="1" applyFill="1" applyBorder="1" applyAlignment="1">
      <alignment horizontal="left" vertical="center" wrapText="1" indent="2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87" fillId="7" borderId="10" xfId="0" applyFont="1" applyFill="1" applyBorder="1" applyAlignment="1">
      <alignment horizontal="right" vertical="center" wrapText="1"/>
    </xf>
    <xf numFmtId="0" fontId="4" fillId="9" borderId="10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>
      <alignment vertical="center"/>
    </xf>
    <xf numFmtId="0" fontId="15" fillId="0" borderId="0" xfId="59">
      <alignment/>
      <protection/>
    </xf>
    <xf numFmtId="0" fontId="9" fillId="0" borderId="0" xfId="59" applyFont="1" applyFill="1">
      <alignment/>
      <protection/>
    </xf>
    <xf numFmtId="0" fontId="9" fillId="0" borderId="0" xfId="59" applyFont="1" applyAlignment="1">
      <alignment vertical="center"/>
      <protection/>
    </xf>
    <xf numFmtId="0" fontId="6" fillId="0" borderId="0" xfId="59" applyFont="1" applyFill="1" applyAlignment="1">
      <alignment horizontal="right"/>
      <protection/>
    </xf>
    <xf numFmtId="0" fontId="15" fillId="0" borderId="0" xfId="59" applyFont="1">
      <alignment/>
      <protection/>
    </xf>
    <xf numFmtId="0" fontId="2" fillId="0" borderId="0" xfId="59" applyFont="1" applyFill="1" applyBorder="1" applyAlignment="1">
      <alignment horizontal="right"/>
      <protection/>
    </xf>
    <xf numFmtId="0" fontId="19" fillId="0" borderId="0" xfId="59" applyFont="1">
      <alignment/>
      <protection/>
    </xf>
    <xf numFmtId="0" fontId="20" fillId="33" borderId="13" xfId="59" applyFont="1" applyFill="1" applyBorder="1" applyAlignment="1">
      <alignment vertical="center"/>
      <protection/>
    </xf>
    <xf numFmtId="9" fontId="20" fillId="33" borderId="13" xfId="59" applyNumberFormat="1" applyFont="1" applyFill="1" applyBorder="1" applyAlignment="1">
      <alignment horizontal="center" vertical="center"/>
      <protection/>
    </xf>
    <xf numFmtId="0" fontId="20" fillId="33" borderId="14" xfId="59" applyFont="1" applyFill="1" applyBorder="1" applyAlignment="1">
      <alignment vertical="center"/>
      <protection/>
    </xf>
    <xf numFmtId="0" fontId="20" fillId="33" borderId="15" xfId="59" applyFont="1" applyFill="1" applyBorder="1" applyAlignment="1">
      <alignment horizontal="center" vertical="center"/>
      <protection/>
    </xf>
    <xf numFmtId="0" fontId="15" fillId="0" borderId="0" xfId="59" applyAlignment="1">
      <alignment vertical="center"/>
      <protection/>
    </xf>
    <xf numFmtId="0" fontId="20" fillId="33" borderId="16" xfId="59" applyFont="1" applyFill="1" applyBorder="1" applyAlignment="1">
      <alignment horizontal="center" vertical="center"/>
      <protection/>
    </xf>
    <xf numFmtId="0" fontId="20" fillId="33" borderId="17" xfId="59" applyFont="1" applyFill="1" applyBorder="1" applyAlignment="1">
      <alignment horizontal="center" vertical="center"/>
      <protection/>
    </xf>
    <xf numFmtId="0" fontId="19" fillId="0" borderId="18" xfId="59" applyFont="1" applyFill="1" applyBorder="1" applyAlignment="1">
      <alignment horizontal="center" vertical="center" wrapText="1"/>
      <protection/>
    </xf>
    <xf numFmtId="3" fontId="19" fillId="0" borderId="18" xfId="66" applyNumberFormat="1" applyFont="1" applyFill="1" applyBorder="1">
      <alignment/>
      <protection/>
    </xf>
    <xf numFmtId="0" fontId="15" fillId="0" borderId="0" xfId="59" applyFill="1">
      <alignment/>
      <protection/>
    </xf>
    <xf numFmtId="0" fontId="19" fillId="0" borderId="19" xfId="64" applyFont="1" applyFill="1" applyBorder="1" applyAlignment="1">
      <alignment horizontal="center" vertical="center"/>
      <protection/>
    </xf>
    <xf numFmtId="173" fontId="19" fillId="0" borderId="20" xfId="59" applyNumberFormat="1" applyFont="1" applyFill="1" applyBorder="1" applyAlignment="1">
      <alignment horizontal="center" vertical="center"/>
      <protection/>
    </xf>
    <xf numFmtId="3" fontId="19" fillId="0" borderId="19" xfId="66" applyNumberFormat="1" applyFont="1" applyFill="1" applyBorder="1">
      <alignment/>
      <protection/>
    </xf>
    <xf numFmtId="4" fontId="19" fillId="7" borderId="21" xfId="59" applyNumberFormat="1" applyFont="1" applyFill="1" applyBorder="1">
      <alignment/>
      <protection/>
    </xf>
    <xf numFmtId="3" fontId="19" fillId="0" borderId="18" xfId="59" applyNumberFormat="1" applyFont="1" applyFill="1" applyBorder="1">
      <alignment/>
      <protection/>
    </xf>
    <xf numFmtId="3" fontId="19" fillId="0" borderId="22" xfId="59" applyNumberFormat="1" applyFont="1" applyFill="1" applyBorder="1">
      <alignment/>
      <protection/>
    </xf>
    <xf numFmtId="0" fontId="19" fillId="0" borderId="19" xfId="59" applyFont="1" applyFill="1" applyBorder="1" applyAlignment="1">
      <alignment horizontal="center" vertical="center" wrapText="1"/>
      <protection/>
    </xf>
    <xf numFmtId="3" fontId="19" fillId="0" borderId="19" xfId="59" applyNumberFormat="1" applyFont="1" applyFill="1" applyBorder="1">
      <alignment/>
      <protection/>
    </xf>
    <xf numFmtId="3" fontId="19" fillId="0" borderId="20" xfId="59" applyNumberFormat="1" applyFont="1" applyFill="1" applyBorder="1">
      <alignment/>
      <protection/>
    </xf>
    <xf numFmtId="4" fontId="19" fillId="0" borderId="18" xfId="59" applyNumberFormat="1" applyFont="1" applyFill="1" applyBorder="1">
      <alignment/>
      <protection/>
    </xf>
    <xf numFmtId="3" fontId="19" fillId="0" borderId="18" xfId="44" applyNumberFormat="1" applyFont="1" applyFill="1" applyBorder="1" applyAlignment="1">
      <alignment horizontal="right" vertical="center"/>
    </xf>
    <xf numFmtId="3" fontId="19" fillId="0" borderId="22" xfId="44" applyNumberFormat="1" applyFont="1" applyFill="1" applyBorder="1" applyAlignment="1">
      <alignment horizontal="right" vertical="center"/>
    </xf>
    <xf numFmtId="3" fontId="19" fillId="0" borderId="19" xfId="44" applyNumberFormat="1" applyFont="1" applyFill="1" applyBorder="1" applyAlignment="1">
      <alignment horizontal="right" vertical="center"/>
    </xf>
    <xf numFmtId="3" fontId="19" fillId="0" borderId="20" xfId="44" applyNumberFormat="1" applyFont="1" applyFill="1" applyBorder="1" applyAlignment="1">
      <alignment horizontal="right" vertical="center"/>
    </xf>
    <xf numFmtId="4" fontId="19" fillId="0" borderId="23" xfId="44" applyNumberFormat="1" applyFont="1" applyFill="1" applyBorder="1" applyAlignment="1">
      <alignment horizontal="right" vertical="center"/>
    </xf>
    <xf numFmtId="4" fontId="19" fillId="0" borderId="18" xfId="44" applyNumberFormat="1" applyFont="1" applyFill="1" applyBorder="1" applyAlignment="1">
      <alignment horizontal="right" vertical="center"/>
    </xf>
    <xf numFmtId="4" fontId="19" fillId="0" borderId="22" xfId="44" applyNumberFormat="1" applyFont="1" applyFill="1" applyBorder="1" applyAlignment="1">
      <alignment horizontal="right" vertical="center"/>
    </xf>
    <xf numFmtId="0" fontId="15" fillId="0" borderId="0" xfId="59" applyFont="1" applyFill="1">
      <alignment/>
      <protection/>
    </xf>
    <xf numFmtId="173" fontId="19" fillId="0" borderId="19" xfId="59" applyNumberFormat="1" applyFont="1" applyFill="1" applyBorder="1" applyAlignment="1">
      <alignment horizontal="center" vertical="center"/>
      <protection/>
    </xf>
    <xf numFmtId="0" fontId="19" fillId="0" borderId="24" xfId="64" applyFont="1" applyFill="1" applyBorder="1" applyAlignment="1">
      <alignment horizontal="center" vertical="center"/>
      <protection/>
    </xf>
    <xf numFmtId="173" fontId="19" fillId="0" borderId="24" xfId="59" applyNumberFormat="1" applyFont="1" applyFill="1" applyBorder="1" applyAlignment="1">
      <alignment horizontal="center" vertical="center"/>
      <protection/>
    </xf>
    <xf numFmtId="0" fontId="19" fillId="0" borderId="0" xfId="59" applyFont="1" applyFill="1">
      <alignment/>
      <protection/>
    </xf>
    <xf numFmtId="0" fontId="19" fillId="0" borderId="19" xfId="64" applyFont="1" applyFill="1" applyBorder="1" applyAlignment="1">
      <alignment vertical="center"/>
      <protection/>
    </xf>
    <xf numFmtId="0" fontId="19" fillId="0" borderId="18" xfId="59" applyFont="1" applyFill="1" applyBorder="1" applyAlignment="1">
      <alignment horizontal="center" wrapText="1"/>
      <protection/>
    </xf>
    <xf numFmtId="0" fontId="19" fillId="0" borderId="19" xfId="64" applyFont="1" applyFill="1" applyBorder="1" applyAlignment="1">
      <alignment horizontal="center"/>
      <protection/>
    </xf>
    <xf numFmtId="0" fontId="19" fillId="0" borderId="19" xfId="64" applyFont="1" applyFill="1" applyBorder="1">
      <alignment/>
      <protection/>
    </xf>
    <xf numFmtId="0" fontId="19" fillId="0" borderId="0" xfId="59" applyFont="1" applyFill="1" applyAlignment="1">
      <alignment vertical="center"/>
      <protection/>
    </xf>
    <xf numFmtId="4" fontId="19" fillId="7" borderId="25" xfId="59" applyNumberFormat="1" applyFont="1" applyFill="1" applyBorder="1" applyAlignment="1">
      <alignment vertical="center"/>
      <protection/>
    </xf>
    <xf numFmtId="10" fontId="21" fillId="0" borderId="18" xfId="66" applyNumberFormat="1" applyFont="1" applyFill="1" applyBorder="1" applyAlignment="1">
      <alignment horizontal="center" vertical="center"/>
      <protection/>
    </xf>
    <xf numFmtId="3" fontId="21" fillId="0" borderId="18" xfId="66" applyNumberFormat="1" applyFont="1" applyFill="1" applyBorder="1">
      <alignment/>
      <protection/>
    </xf>
    <xf numFmtId="3" fontId="21" fillId="0" borderId="22" xfId="66" applyNumberFormat="1" applyFont="1" applyFill="1" applyBorder="1">
      <alignment/>
      <protection/>
    </xf>
    <xf numFmtId="173" fontId="21" fillId="0" borderId="19" xfId="59" applyNumberFormat="1" applyFont="1" applyFill="1" applyBorder="1" applyAlignment="1">
      <alignment horizontal="center" vertical="center"/>
      <protection/>
    </xf>
    <xf numFmtId="3" fontId="21" fillId="0" borderId="19" xfId="66" applyNumberFormat="1" applyFont="1" applyFill="1" applyBorder="1">
      <alignment/>
      <protection/>
    </xf>
    <xf numFmtId="3" fontId="21" fillId="0" borderId="20" xfId="66" applyNumberFormat="1" applyFont="1" applyFill="1" applyBorder="1">
      <alignment/>
      <protection/>
    </xf>
    <xf numFmtId="0" fontId="21" fillId="0" borderId="19" xfId="64" applyFont="1" applyFill="1" applyBorder="1" applyAlignment="1">
      <alignment horizontal="center" vertical="center"/>
      <protection/>
    </xf>
    <xf numFmtId="4" fontId="21" fillId="0" borderId="18" xfId="66" applyNumberFormat="1" applyFont="1" applyFill="1" applyBorder="1">
      <alignment/>
      <protection/>
    </xf>
    <xf numFmtId="0" fontId="21" fillId="0" borderId="18" xfId="59" applyFont="1" applyFill="1" applyBorder="1" applyAlignment="1">
      <alignment horizontal="center" vertical="center" wrapText="1"/>
      <protection/>
    </xf>
    <xf numFmtId="173" fontId="92" fillId="0" borderId="19" xfId="59" applyNumberFormat="1" applyFont="1" applyFill="1" applyBorder="1" applyAlignment="1">
      <alignment horizontal="center" vertical="center"/>
      <protection/>
    </xf>
    <xf numFmtId="0" fontId="21" fillId="0" borderId="19" xfId="59" applyFont="1" applyFill="1" applyBorder="1" applyAlignment="1">
      <alignment horizontal="center" vertical="center" wrapText="1"/>
      <protection/>
    </xf>
    <xf numFmtId="0" fontId="19" fillId="34" borderId="26" xfId="59" applyFont="1" applyFill="1" applyBorder="1" applyAlignment="1">
      <alignment/>
      <protection/>
    </xf>
    <xf numFmtId="4" fontId="11" fillId="34" borderId="27" xfId="59" applyNumberFormat="1" applyFont="1" applyFill="1" applyBorder="1" applyAlignment="1">
      <alignment horizontal="center"/>
      <protection/>
    </xf>
    <xf numFmtId="4" fontId="11" fillId="13" borderId="28" xfId="59" applyNumberFormat="1" applyFont="1" applyFill="1" applyBorder="1" applyAlignment="1">
      <alignment horizontal="center"/>
      <protection/>
    </xf>
    <xf numFmtId="0" fontId="19" fillId="34" borderId="29" xfId="59" applyFont="1" applyFill="1" applyBorder="1" applyAlignment="1">
      <alignment horizontal="left"/>
      <protection/>
    </xf>
    <xf numFmtId="4" fontId="11" fillId="34" borderId="30" xfId="59" applyNumberFormat="1" applyFont="1" applyFill="1" applyBorder="1" applyAlignment="1">
      <alignment horizontal="center"/>
      <protection/>
    </xf>
    <xf numFmtId="4" fontId="11" fillId="13" borderId="31" xfId="59" applyNumberFormat="1" applyFont="1" applyFill="1" applyBorder="1" applyAlignment="1">
      <alignment horizontal="center"/>
      <protection/>
    </xf>
    <xf numFmtId="0" fontId="11" fillId="13" borderId="32" xfId="59" applyFont="1" applyFill="1" applyBorder="1" applyAlignment="1">
      <alignment horizontal="left"/>
      <protection/>
    </xf>
    <xf numFmtId="4" fontId="11" fillId="13" borderId="33" xfId="59" applyNumberFormat="1" applyFont="1" applyFill="1" applyBorder="1" applyAlignment="1">
      <alignment horizontal="center" vertical="center"/>
      <protection/>
    </xf>
    <xf numFmtId="4" fontId="11" fillId="13" borderId="34" xfId="59" applyNumberFormat="1" applyFont="1" applyFill="1" applyBorder="1" applyAlignment="1">
      <alignment horizontal="center" vertical="center"/>
      <protection/>
    </xf>
    <xf numFmtId="0" fontId="5" fillId="35" borderId="35" xfId="59" applyFont="1" applyFill="1" applyBorder="1" applyAlignment="1">
      <alignment/>
      <protection/>
    </xf>
    <xf numFmtId="10" fontId="11" fillId="34" borderId="36" xfId="73" applyNumberFormat="1" applyFont="1" applyFill="1" applyBorder="1" applyAlignment="1">
      <alignment horizontal="center"/>
    </xf>
    <xf numFmtId="10" fontId="11" fillId="34" borderId="12" xfId="73" applyNumberFormat="1" applyFont="1" applyFill="1" applyBorder="1" applyAlignment="1">
      <alignment horizontal="center"/>
    </xf>
    <xf numFmtId="10" fontId="11" fillId="35" borderId="37" xfId="73" applyNumberFormat="1" applyFont="1" applyFill="1" applyBorder="1" applyAlignment="1">
      <alignment horizontal="center"/>
    </xf>
    <xf numFmtId="0" fontId="22" fillId="0" borderId="0" xfId="59" applyFont="1">
      <alignment/>
      <protection/>
    </xf>
    <xf numFmtId="0" fontId="9" fillId="35" borderId="38" xfId="59" applyFont="1" applyFill="1" applyBorder="1" applyAlignment="1">
      <alignment/>
      <protection/>
    </xf>
    <xf numFmtId="10" fontId="11" fillId="34" borderId="39" xfId="73" applyNumberFormat="1" applyFont="1" applyFill="1" applyBorder="1" applyAlignment="1">
      <alignment horizontal="center"/>
    </xf>
    <xf numFmtId="10" fontId="23" fillId="35" borderId="40" xfId="73" applyNumberFormat="1" applyFont="1" applyFill="1" applyBorder="1" applyAlignment="1">
      <alignment horizontal="center"/>
    </xf>
    <xf numFmtId="4" fontId="5" fillId="34" borderId="10" xfId="59" applyNumberFormat="1" applyFont="1" applyFill="1" applyBorder="1" applyAlignment="1">
      <alignment horizontal="center" vertical="center"/>
      <protection/>
    </xf>
    <xf numFmtId="0" fontId="8" fillId="0" borderId="0" xfId="59" applyFont="1" applyAlignment="1">
      <alignment horizontal="left"/>
      <protection/>
    </xf>
    <xf numFmtId="0" fontId="21" fillId="0" borderId="0" xfId="59" applyFont="1" applyAlignment="1">
      <alignment horizontal="center"/>
      <protection/>
    </xf>
    <xf numFmtId="4" fontId="19" fillId="0" borderId="0" xfId="59" applyNumberFormat="1" applyFont="1" applyBorder="1">
      <alignment/>
      <protection/>
    </xf>
    <xf numFmtId="3" fontId="8" fillId="0" borderId="0" xfId="59" applyNumberFormat="1" applyFont="1" applyAlignment="1">
      <alignment horizontal="left"/>
      <protection/>
    </xf>
    <xf numFmtId="4" fontId="21" fillId="0" borderId="0" xfId="59" applyNumberFormat="1" applyFont="1" applyAlignment="1">
      <alignment horizontal="center"/>
      <protection/>
    </xf>
    <xf numFmtId="4" fontId="23" fillId="0" borderId="10" xfId="59" applyNumberFormat="1" applyFont="1" applyBorder="1" applyAlignment="1">
      <alignment vertical="center"/>
      <protection/>
    </xf>
    <xf numFmtId="171" fontId="19" fillId="0" borderId="0" xfId="59" applyNumberFormat="1" applyFont="1">
      <alignment/>
      <protection/>
    </xf>
    <xf numFmtId="4" fontId="20" fillId="0" borderId="0" xfId="59" applyNumberFormat="1" applyFont="1" applyBorder="1">
      <alignment/>
      <protection/>
    </xf>
    <xf numFmtId="0" fontId="15" fillId="0" borderId="0" xfId="59" applyFill="1" applyBorder="1">
      <alignment/>
      <protection/>
    </xf>
    <xf numFmtId="0" fontId="15" fillId="0" borderId="0" xfId="59" applyAlignment="1">
      <alignment/>
      <protection/>
    </xf>
    <xf numFmtId="0" fontId="22" fillId="0" borderId="0" xfId="59" applyFont="1" applyAlignment="1">
      <alignment/>
      <protection/>
    </xf>
    <xf numFmtId="174" fontId="24" fillId="0" borderId="0" xfId="59" applyNumberFormat="1" applyFont="1">
      <alignment/>
      <protection/>
    </xf>
    <xf numFmtId="0" fontId="5" fillId="0" borderId="0" xfId="59" applyFont="1" applyAlignment="1">
      <alignment/>
      <protection/>
    </xf>
    <xf numFmtId="0" fontId="19" fillId="0" borderId="19" xfId="59" applyFont="1" applyFill="1" applyBorder="1" applyAlignment="1">
      <alignment horizontal="center" wrapText="1"/>
      <protection/>
    </xf>
    <xf numFmtId="4" fontId="19" fillId="0" borderId="19" xfId="59" applyNumberFormat="1" applyFont="1" applyFill="1" applyBorder="1">
      <alignment/>
      <protection/>
    </xf>
    <xf numFmtId="4" fontId="21" fillId="0" borderId="18" xfId="59" applyNumberFormat="1" applyFont="1" applyFill="1" applyBorder="1">
      <alignment/>
      <protection/>
    </xf>
    <xf numFmtId="0" fontId="25" fillId="0" borderId="0" xfId="59" applyFont="1" applyFill="1" applyBorder="1">
      <alignment/>
      <protection/>
    </xf>
    <xf numFmtId="4" fontId="21" fillId="0" borderId="19" xfId="59" applyNumberFormat="1" applyFont="1" applyFill="1" applyBorder="1">
      <alignment/>
      <protection/>
    </xf>
    <xf numFmtId="4" fontId="11" fillId="34" borderId="41" xfId="59" applyNumberFormat="1" applyFont="1" applyFill="1" applyBorder="1" applyAlignment="1">
      <alignment horizontal="center" vertical="center"/>
      <protection/>
    </xf>
    <xf numFmtId="4" fontId="11" fillId="13" borderId="28" xfId="59" applyNumberFormat="1" applyFont="1" applyFill="1" applyBorder="1" applyAlignment="1">
      <alignment horizontal="center" vertical="center"/>
      <protection/>
    </xf>
    <xf numFmtId="0" fontId="19" fillId="34" borderId="42" xfId="59" applyFont="1" applyFill="1" applyBorder="1" applyAlignment="1">
      <alignment horizontal="center"/>
      <protection/>
    </xf>
    <xf numFmtId="4" fontId="11" fillId="13" borderId="43" xfId="59" applyNumberFormat="1" applyFont="1" applyFill="1" applyBorder="1" applyAlignment="1">
      <alignment horizontal="center" vertical="center"/>
      <protection/>
    </xf>
    <xf numFmtId="0" fontId="11" fillId="13" borderId="32" xfId="59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center"/>
      <protection/>
    </xf>
    <xf numFmtId="175" fontId="11" fillId="35" borderId="10" xfId="59" applyNumberFormat="1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left"/>
      <protection/>
    </xf>
    <xf numFmtId="4" fontId="11" fillId="0" borderId="0" xfId="59" applyNumberFormat="1" applyFont="1" applyFill="1" applyBorder="1" applyAlignment="1">
      <alignment horizontal="center" vertical="center"/>
      <protection/>
    </xf>
    <xf numFmtId="3" fontId="11" fillId="35" borderId="10" xfId="59" applyNumberFormat="1" applyFont="1" applyFill="1" applyBorder="1" applyAlignment="1">
      <alignment horizontal="center"/>
      <protection/>
    </xf>
    <xf numFmtId="0" fontId="23" fillId="0" borderId="0" xfId="59" applyFont="1" applyAlignment="1">
      <alignment/>
      <protection/>
    </xf>
    <xf numFmtId="174" fontId="11" fillId="0" borderId="0" xfId="59" applyNumberFormat="1" applyFont="1" applyFill="1" applyBorder="1" applyAlignment="1">
      <alignment horizontal="left"/>
      <protection/>
    </xf>
    <xf numFmtId="4" fontId="15" fillId="0" borderId="0" xfId="59" applyNumberFormat="1" applyFont="1">
      <alignment/>
      <protection/>
    </xf>
    <xf numFmtId="0" fontId="22" fillId="0" borderId="0" xfId="59" applyFont="1" applyAlignment="1">
      <alignment vertical="center"/>
      <protection/>
    </xf>
    <xf numFmtId="0" fontId="19" fillId="34" borderId="10" xfId="59" applyFont="1" applyFill="1" applyBorder="1" applyAlignment="1">
      <alignment/>
      <protection/>
    </xf>
    <xf numFmtId="4" fontId="11" fillId="34" borderId="10" xfId="59" applyNumberFormat="1" applyFont="1" applyFill="1" applyBorder="1" applyAlignment="1">
      <alignment horizontal="center" vertical="center"/>
      <protection/>
    </xf>
    <xf numFmtId="4" fontId="11" fillId="13" borderId="10" xfId="59" applyNumberFormat="1" applyFont="1" applyFill="1" applyBorder="1" applyAlignment="1">
      <alignment horizontal="center" vertical="center"/>
      <protection/>
    </xf>
    <xf numFmtId="0" fontId="19" fillId="34" borderId="11" xfId="59" applyFont="1" applyFill="1" applyBorder="1" applyAlignment="1">
      <alignment horizontal="center"/>
      <protection/>
    </xf>
    <xf numFmtId="4" fontId="11" fillId="34" borderId="11" xfId="59" applyNumberFormat="1" applyFont="1" applyFill="1" applyBorder="1" applyAlignment="1">
      <alignment horizontal="center" vertical="center"/>
      <protection/>
    </xf>
    <xf numFmtId="4" fontId="11" fillId="13" borderId="11" xfId="59" applyNumberFormat="1" applyFont="1" applyFill="1" applyBorder="1" applyAlignment="1">
      <alignment horizontal="center" vertical="center"/>
      <protection/>
    </xf>
    <xf numFmtId="0" fontId="11" fillId="13" borderId="44" xfId="59" applyFont="1" applyFill="1" applyBorder="1" applyAlignment="1">
      <alignment horizontal="center"/>
      <protection/>
    </xf>
    <xf numFmtId="4" fontId="11" fillId="13" borderId="44" xfId="59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/>
      <protection/>
    </xf>
    <xf numFmtId="10" fontId="23" fillId="34" borderId="10" xfId="73" applyNumberFormat="1" applyFont="1" applyFill="1" applyBorder="1" applyAlignment="1">
      <alignment horizontal="center"/>
    </xf>
    <xf numFmtId="10" fontId="11" fillId="35" borderId="10" xfId="71" applyNumberFormat="1" applyFont="1" applyFill="1" applyBorder="1" applyAlignment="1">
      <alignment horizontal="center" vertical="center"/>
    </xf>
    <xf numFmtId="0" fontId="11" fillId="35" borderId="10" xfId="59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wrapText="1"/>
      <protection/>
    </xf>
    <xf numFmtId="0" fontId="2" fillId="0" borderId="0" xfId="59" applyFont="1">
      <alignment/>
      <protection/>
    </xf>
    <xf numFmtId="10" fontId="19" fillId="0" borderId="22" xfId="65" applyNumberFormat="1" applyFont="1" applyFill="1" applyBorder="1" applyAlignment="1">
      <alignment horizontal="center" vertical="center"/>
      <protection/>
    </xf>
    <xf numFmtId="10" fontId="19" fillId="0" borderId="18" xfId="65" applyNumberFormat="1" applyFont="1" applyFill="1" applyBorder="1" applyAlignment="1">
      <alignment horizontal="center" vertical="center"/>
      <protection/>
    </xf>
    <xf numFmtId="173" fontId="19" fillId="0" borderId="18" xfId="65" applyNumberFormat="1" applyFont="1" applyFill="1" applyBorder="1" applyAlignment="1">
      <alignment horizontal="center" vertical="center"/>
      <protection/>
    </xf>
    <xf numFmtId="3" fontId="19" fillId="0" borderId="18" xfId="65" applyNumberFormat="1" applyFont="1" applyFill="1" applyBorder="1" applyAlignment="1">
      <alignment vertical="center"/>
      <protection/>
    </xf>
    <xf numFmtId="4" fontId="19" fillId="0" borderId="18" xfId="65" applyNumberFormat="1" applyFont="1" applyFill="1" applyBorder="1" applyAlignment="1">
      <alignment vertical="center"/>
      <protection/>
    </xf>
    <xf numFmtId="3" fontId="19" fillId="0" borderId="22" xfId="65" applyNumberFormat="1" applyFont="1" applyFill="1" applyBorder="1" applyAlignment="1">
      <alignment vertical="center"/>
      <protection/>
    </xf>
    <xf numFmtId="3" fontId="19" fillId="0" borderId="19" xfId="65" applyNumberFormat="1" applyFont="1" applyFill="1" applyBorder="1" applyAlignment="1">
      <alignment vertical="center"/>
      <protection/>
    </xf>
    <xf numFmtId="3" fontId="19" fillId="0" borderId="20" xfId="65" applyNumberFormat="1" applyFont="1" applyFill="1" applyBorder="1" applyAlignment="1">
      <alignment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93" fillId="0" borderId="0" xfId="59" applyFont="1" applyFill="1">
      <alignment/>
      <protection/>
    </xf>
    <xf numFmtId="10" fontId="19" fillId="0" borderId="18" xfId="66" applyNumberFormat="1" applyFont="1" applyFill="1" applyBorder="1" applyAlignment="1">
      <alignment horizontal="center" vertical="center"/>
      <protection/>
    </xf>
    <xf numFmtId="3" fontId="21" fillId="0" borderId="18" xfId="65" applyNumberFormat="1" applyFont="1" applyFill="1" applyBorder="1">
      <alignment/>
      <protection/>
    </xf>
    <xf numFmtId="4" fontId="21" fillId="0" borderId="18" xfId="65" applyNumberFormat="1" applyFont="1" applyFill="1" applyBorder="1">
      <alignment/>
      <protection/>
    </xf>
    <xf numFmtId="3" fontId="21" fillId="0" borderId="19" xfId="65" applyNumberFormat="1" applyFont="1" applyFill="1" applyBorder="1">
      <alignment/>
      <protection/>
    </xf>
    <xf numFmtId="0" fontId="89" fillId="0" borderId="0" xfId="59" applyFont="1">
      <alignment/>
      <protection/>
    </xf>
    <xf numFmtId="0" fontId="92" fillId="0" borderId="0" xfId="59" applyFont="1" applyAlignment="1">
      <alignment horizontal="center"/>
      <protection/>
    </xf>
    <xf numFmtId="0" fontId="92" fillId="0" borderId="0" xfId="59" applyFont="1" applyAlignment="1">
      <alignment vertical="top"/>
      <protection/>
    </xf>
    <xf numFmtId="0" fontId="94" fillId="0" borderId="0" xfId="59" applyFont="1">
      <alignment/>
      <protection/>
    </xf>
    <xf numFmtId="0" fontId="95" fillId="0" borderId="0" xfId="59" applyFont="1">
      <alignment/>
      <protection/>
    </xf>
    <xf numFmtId="3" fontId="84" fillId="0" borderId="0" xfId="59" applyNumberFormat="1" applyFont="1">
      <alignment/>
      <protection/>
    </xf>
    <xf numFmtId="4" fontId="19" fillId="7" borderId="45" xfId="59" applyNumberFormat="1" applyFont="1" applyFill="1" applyBorder="1">
      <alignment/>
      <protection/>
    </xf>
    <xf numFmtId="0" fontId="19" fillId="0" borderId="46" xfId="59" applyFont="1" applyFill="1" applyBorder="1" applyAlignment="1">
      <alignment horizontal="center" vertical="center" wrapText="1"/>
      <protection/>
    </xf>
    <xf numFmtId="4" fontId="19" fillId="7" borderId="47" xfId="59" applyNumberFormat="1" applyFont="1" applyFill="1" applyBorder="1">
      <alignment/>
      <protection/>
    </xf>
    <xf numFmtId="0" fontId="19" fillId="0" borderId="0" xfId="59" applyFont="1" applyFill="1" applyBorder="1" applyAlignment="1">
      <alignment/>
      <protection/>
    </xf>
    <xf numFmtId="4" fontId="19" fillId="7" borderId="25" xfId="59" applyNumberFormat="1" applyFont="1" applyFill="1" applyBorder="1">
      <alignment/>
      <protection/>
    </xf>
    <xf numFmtId="0" fontId="5" fillId="34" borderId="36" xfId="59" applyFont="1" applyFill="1" applyBorder="1" applyAlignment="1">
      <alignment horizontal="center"/>
      <protection/>
    </xf>
    <xf numFmtId="0" fontId="5" fillId="34" borderId="48" xfId="59" applyFont="1" applyFill="1" applyBorder="1" applyAlignment="1">
      <alignment horizontal="center"/>
      <protection/>
    </xf>
    <xf numFmtId="10" fontId="19" fillId="0" borderId="18" xfId="59" applyNumberFormat="1" applyFont="1" applyFill="1" applyBorder="1" applyAlignment="1">
      <alignment horizontal="center"/>
      <protection/>
    </xf>
    <xf numFmtId="173" fontId="19" fillId="0" borderId="19" xfId="59" applyNumberFormat="1" applyFont="1" applyFill="1" applyBorder="1" applyAlignment="1">
      <alignment horizontal="center"/>
      <protection/>
    </xf>
    <xf numFmtId="10" fontId="21" fillId="0" borderId="18" xfId="59" applyNumberFormat="1" applyFont="1" applyFill="1" applyBorder="1" applyAlignment="1">
      <alignment horizontal="center"/>
      <protection/>
    </xf>
    <xf numFmtId="173" fontId="21" fillId="0" borderId="19" xfId="59" applyNumberFormat="1" applyFont="1" applyFill="1" applyBorder="1" applyAlignment="1">
      <alignment horizontal="center"/>
      <protection/>
    </xf>
    <xf numFmtId="0" fontId="5" fillId="34" borderId="10" xfId="59" applyFont="1" applyFill="1" applyBorder="1" applyAlignment="1">
      <alignment horizontal="center"/>
      <protection/>
    </xf>
    <xf numFmtId="0" fontId="20" fillId="33" borderId="13" xfId="59" applyFont="1" applyFill="1" applyBorder="1" applyAlignment="1">
      <alignment horizontal="center" vertical="center"/>
      <protection/>
    </xf>
    <xf numFmtId="0" fontId="20" fillId="33" borderId="49" xfId="59" applyFont="1" applyFill="1" applyBorder="1" applyAlignment="1">
      <alignment horizontal="center" vertical="center"/>
      <protection/>
    </xf>
    <xf numFmtId="0" fontId="89" fillId="0" borderId="0" xfId="59" applyFont="1" applyAlignment="1">
      <alignment vertical="center"/>
      <protection/>
    </xf>
    <xf numFmtId="3" fontId="93" fillId="0" borderId="0" xfId="59" applyNumberFormat="1" applyFont="1">
      <alignment/>
      <protection/>
    </xf>
    <xf numFmtId="0" fontId="93" fillId="0" borderId="0" xfId="59" applyFont="1">
      <alignment/>
      <protection/>
    </xf>
    <xf numFmtId="0" fontId="15" fillId="0" borderId="0" xfId="59" applyFont="1" applyAlignment="1">
      <alignment vertical="center"/>
      <protection/>
    </xf>
    <xf numFmtId="3" fontId="19" fillId="0" borderId="18" xfId="59" applyNumberFormat="1" applyFont="1" applyFill="1" applyBorder="1" applyAlignment="1">
      <alignment vertical="center"/>
      <protection/>
    </xf>
    <xf numFmtId="3" fontId="19" fillId="0" borderId="22" xfId="59" applyNumberFormat="1" applyFont="1" applyFill="1" applyBorder="1" applyAlignment="1">
      <alignment vertical="center"/>
      <protection/>
    </xf>
    <xf numFmtId="3" fontId="19" fillId="0" borderId="19" xfId="59" applyNumberFormat="1" applyFont="1" applyFill="1" applyBorder="1" applyAlignment="1">
      <alignment vertical="center"/>
      <protection/>
    </xf>
    <xf numFmtId="3" fontId="19" fillId="0" borderId="20" xfId="59" applyNumberFormat="1" applyFont="1" applyFill="1" applyBorder="1" applyAlignment="1">
      <alignment vertical="center"/>
      <protection/>
    </xf>
    <xf numFmtId="4" fontId="19" fillId="0" borderId="23" xfId="59" applyNumberFormat="1" applyFont="1" applyFill="1" applyBorder="1" applyAlignment="1">
      <alignment vertical="center"/>
      <protection/>
    </xf>
    <xf numFmtId="4" fontId="19" fillId="0" borderId="18" xfId="59" applyNumberFormat="1" applyFont="1" applyFill="1" applyBorder="1" applyAlignment="1">
      <alignment vertical="center"/>
      <protection/>
    </xf>
    <xf numFmtId="4" fontId="19" fillId="0" borderId="22" xfId="59" applyNumberFormat="1" applyFont="1" applyFill="1" applyBorder="1" applyAlignment="1">
      <alignment vertical="center"/>
      <protection/>
    </xf>
    <xf numFmtId="0" fontId="15" fillId="36" borderId="0" xfId="59" applyFont="1" applyFill="1">
      <alignment/>
      <protection/>
    </xf>
    <xf numFmtId="3" fontId="19" fillId="0" borderId="18" xfId="64" applyNumberFormat="1" applyFont="1" applyFill="1" applyBorder="1" applyAlignment="1">
      <alignment vertical="center"/>
      <protection/>
    </xf>
    <xf numFmtId="4" fontId="19" fillId="0" borderId="18" xfId="64" applyNumberFormat="1" applyFont="1" applyFill="1" applyBorder="1" applyAlignment="1">
      <alignment vertical="center"/>
      <protection/>
    </xf>
    <xf numFmtId="4" fontId="19" fillId="0" borderId="22" xfId="64" applyNumberFormat="1" applyFont="1" applyFill="1" applyBorder="1" applyAlignment="1">
      <alignment vertical="center"/>
      <protection/>
    </xf>
    <xf numFmtId="3" fontId="19" fillId="0" borderId="19" xfId="64" applyNumberFormat="1" applyFont="1" applyFill="1" applyBorder="1" applyAlignment="1">
      <alignment vertical="center"/>
      <protection/>
    </xf>
    <xf numFmtId="3" fontId="19" fillId="0" borderId="20" xfId="64" applyNumberFormat="1" applyFont="1" applyFill="1" applyBorder="1" applyAlignment="1">
      <alignment vertical="center"/>
      <protection/>
    </xf>
    <xf numFmtId="4" fontId="19" fillId="0" borderId="22" xfId="65" applyNumberFormat="1" applyFont="1" applyFill="1" applyBorder="1" applyAlignment="1">
      <alignment vertical="center"/>
      <protection/>
    </xf>
    <xf numFmtId="3" fontId="19" fillId="0" borderId="24" xfId="65" applyNumberFormat="1" applyFont="1" applyFill="1" applyBorder="1" applyAlignment="1">
      <alignment vertical="center"/>
      <protection/>
    </xf>
    <xf numFmtId="3" fontId="19" fillId="0" borderId="50" xfId="65" applyNumberFormat="1" applyFont="1" applyFill="1" applyBorder="1" applyAlignment="1">
      <alignment vertical="center"/>
      <protection/>
    </xf>
    <xf numFmtId="4" fontId="19" fillId="37" borderId="18" xfId="65" applyNumberFormat="1" applyFont="1" applyFill="1" applyBorder="1" applyAlignment="1">
      <alignment vertical="center"/>
      <protection/>
    </xf>
    <xf numFmtId="3" fontId="19" fillId="0" borderId="51" xfId="65" applyNumberFormat="1" applyFont="1" applyFill="1" applyBorder="1" applyAlignment="1">
      <alignment vertical="center"/>
      <protection/>
    </xf>
    <xf numFmtId="3" fontId="19" fillId="0" borderId="52" xfId="65" applyNumberFormat="1" applyFont="1" applyFill="1" applyBorder="1" applyAlignment="1">
      <alignment vertical="center"/>
      <protection/>
    </xf>
    <xf numFmtId="3" fontId="19" fillId="0" borderId="53" xfId="65" applyNumberFormat="1" applyFont="1" applyFill="1" applyBorder="1" applyAlignment="1">
      <alignment vertical="center"/>
      <protection/>
    </xf>
    <xf numFmtId="3" fontId="19" fillId="0" borderId="18" xfId="66" applyNumberFormat="1" applyFont="1" applyFill="1" applyBorder="1" applyAlignment="1">
      <alignment vertical="center"/>
      <protection/>
    </xf>
    <xf numFmtId="3" fontId="19" fillId="0" borderId="19" xfId="66" applyNumberFormat="1" applyFont="1" applyFill="1" applyBorder="1" applyAlignment="1">
      <alignment vertical="center"/>
      <protection/>
    </xf>
    <xf numFmtId="4" fontId="19" fillId="37" borderId="18" xfId="66" applyNumberFormat="1" applyFont="1" applyFill="1" applyBorder="1" applyAlignment="1">
      <alignment vertical="center"/>
      <protection/>
    </xf>
    <xf numFmtId="3" fontId="19" fillId="0" borderId="22" xfId="66" applyNumberFormat="1" applyFont="1" applyFill="1" applyBorder="1" applyAlignment="1">
      <alignment vertical="center"/>
      <protection/>
    </xf>
    <xf numFmtId="3" fontId="19" fillId="0" borderId="20" xfId="66" applyNumberFormat="1" applyFont="1" applyFill="1" applyBorder="1" applyAlignment="1">
      <alignment vertical="center"/>
      <protection/>
    </xf>
    <xf numFmtId="4" fontId="19" fillId="38" borderId="18" xfId="66" applyNumberFormat="1" applyFont="1" applyFill="1" applyBorder="1" applyAlignment="1">
      <alignment vertical="center"/>
      <protection/>
    </xf>
    <xf numFmtId="4" fontId="19" fillId="0" borderId="18" xfId="66" applyNumberFormat="1" applyFont="1" applyFill="1" applyBorder="1" applyAlignment="1">
      <alignment vertical="center"/>
      <protection/>
    </xf>
    <xf numFmtId="10" fontId="21" fillId="0" borderId="18" xfId="65" applyNumberFormat="1" applyFont="1" applyFill="1" applyBorder="1" applyAlignment="1">
      <alignment horizontal="center" vertical="center"/>
      <protection/>
    </xf>
    <xf numFmtId="3" fontId="21" fillId="0" borderId="22" xfId="65" applyNumberFormat="1" applyFont="1" applyFill="1" applyBorder="1">
      <alignment/>
      <protection/>
    </xf>
    <xf numFmtId="4" fontId="21" fillId="7" borderId="25" xfId="59" applyNumberFormat="1" applyFont="1" applyFill="1" applyBorder="1">
      <alignment/>
      <protection/>
    </xf>
    <xf numFmtId="3" fontId="21" fillId="0" borderId="20" xfId="65" applyNumberFormat="1" applyFont="1" applyFill="1" applyBorder="1">
      <alignment/>
      <protection/>
    </xf>
    <xf numFmtId="4" fontId="21" fillId="7" borderId="21" xfId="59" applyNumberFormat="1" applyFont="1" applyFill="1" applyBorder="1">
      <alignment/>
      <protection/>
    </xf>
    <xf numFmtId="4" fontId="19" fillId="0" borderId="18" xfId="66" applyNumberFormat="1" applyFont="1" applyFill="1" applyBorder="1">
      <alignment/>
      <protection/>
    </xf>
    <xf numFmtId="3" fontId="92" fillId="0" borderId="18" xfId="66" applyNumberFormat="1" applyFont="1" applyFill="1" applyBorder="1">
      <alignment/>
      <protection/>
    </xf>
    <xf numFmtId="3" fontId="92" fillId="0" borderId="19" xfId="66" applyNumberFormat="1" applyFont="1" applyFill="1" applyBorder="1">
      <alignment/>
      <protection/>
    </xf>
    <xf numFmtId="174" fontId="11" fillId="34" borderId="41" xfId="59" applyNumberFormat="1" applyFont="1" applyFill="1" applyBorder="1" applyAlignment="1">
      <alignment horizontal="center"/>
      <protection/>
    </xf>
    <xf numFmtId="0" fontId="5" fillId="34" borderId="54" xfId="59" applyFont="1" applyFill="1" applyBorder="1" applyAlignment="1">
      <alignment horizontal="right"/>
      <protection/>
    </xf>
    <xf numFmtId="0" fontId="11" fillId="13" borderId="33" xfId="59" applyFont="1" applyFill="1" applyBorder="1" applyAlignment="1">
      <alignment horizontal="center"/>
      <protection/>
    </xf>
    <xf numFmtId="3" fontId="21" fillId="0" borderId="0" xfId="59" applyNumberFormat="1" applyFont="1" applyAlignment="1">
      <alignment horizontal="center"/>
      <protection/>
    </xf>
    <xf numFmtId="4" fontId="92" fillId="0" borderId="0" xfId="59" applyNumberFormat="1" applyFont="1" applyAlignment="1">
      <alignment horizontal="center"/>
      <protection/>
    </xf>
    <xf numFmtId="4" fontId="93" fillId="0" borderId="0" xfId="59" applyNumberFormat="1" applyFont="1" applyBorder="1">
      <alignment/>
      <protection/>
    </xf>
    <xf numFmtId="4" fontId="94" fillId="0" borderId="0" xfId="59" applyNumberFormat="1" applyFont="1">
      <alignment/>
      <protection/>
    </xf>
    <xf numFmtId="4" fontId="5" fillId="0" borderId="10" xfId="0" applyNumberFormat="1" applyFont="1" applyBorder="1" applyAlignment="1">
      <alignment vertical="top"/>
    </xf>
    <xf numFmtId="0" fontId="92" fillId="0" borderId="0" xfId="59" applyFont="1" applyAlignment="1">
      <alignment vertical="center"/>
      <protection/>
    </xf>
    <xf numFmtId="4" fontId="96" fillId="0" borderId="0" xfId="59" applyNumberFormat="1" applyFont="1">
      <alignment/>
      <protection/>
    </xf>
    <xf numFmtId="4" fontId="97" fillId="0" borderId="10" xfId="59" applyNumberFormat="1" applyFont="1" applyBorder="1">
      <alignment/>
      <protection/>
    </xf>
    <xf numFmtId="4" fontId="97" fillId="0" borderId="55" xfId="59" applyNumberFormat="1" applyFont="1" applyBorder="1">
      <alignment/>
      <protection/>
    </xf>
    <xf numFmtId="0" fontId="95" fillId="0" borderId="0" xfId="59" applyFont="1" applyAlignment="1">
      <alignment vertical="center"/>
      <protection/>
    </xf>
    <xf numFmtId="174" fontId="94" fillId="0" borderId="0" xfId="59" applyNumberFormat="1" applyFont="1">
      <alignment/>
      <protection/>
    </xf>
    <xf numFmtId="4" fontId="19" fillId="39" borderId="18" xfId="59" applyNumberFormat="1" applyFont="1" applyFill="1" applyBorder="1">
      <alignment/>
      <protection/>
    </xf>
    <xf numFmtId="0" fontId="15" fillId="0" borderId="0" xfId="59" applyFont="1" applyFill="1" applyBorder="1">
      <alignment/>
      <protection/>
    </xf>
    <xf numFmtId="0" fontId="5" fillId="34" borderId="30" xfId="59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left" vertical="center"/>
      <protection/>
    </xf>
    <xf numFmtId="3" fontId="98" fillId="0" borderId="0" xfId="59" applyNumberFormat="1" applyFont="1" applyFill="1" applyBorder="1" applyAlignment="1">
      <alignment horizontal="center"/>
      <protection/>
    </xf>
    <xf numFmtId="0" fontId="99" fillId="0" borderId="0" xfId="59" applyFont="1" applyFill="1" applyAlignment="1">
      <alignment/>
      <protection/>
    </xf>
    <xf numFmtId="4" fontId="98" fillId="0" borderId="0" xfId="59" applyNumberFormat="1" applyFont="1" applyFill="1" applyBorder="1" applyAlignment="1">
      <alignment horizontal="center" vertical="center"/>
      <protection/>
    </xf>
    <xf numFmtId="4" fontId="95" fillId="0" borderId="0" xfId="59" applyNumberFormat="1" applyFont="1">
      <alignment/>
      <protection/>
    </xf>
    <xf numFmtId="10" fontId="95" fillId="0" borderId="0" xfId="59" applyNumberFormat="1" applyFont="1">
      <alignment/>
      <protection/>
    </xf>
    <xf numFmtId="10" fontId="95" fillId="0" borderId="0" xfId="59" applyNumberFormat="1" applyFont="1" applyFill="1" applyBorder="1">
      <alignment/>
      <protection/>
    </xf>
    <xf numFmtId="10" fontId="15" fillId="0" borderId="0" xfId="59" applyNumberFormat="1" applyFont="1">
      <alignment/>
      <protection/>
    </xf>
    <xf numFmtId="0" fontId="95" fillId="0" borderId="0" xfId="59" applyFont="1" applyFill="1" applyBorder="1">
      <alignment/>
      <protection/>
    </xf>
    <xf numFmtId="0" fontId="100" fillId="0" borderId="0" xfId="59" applyFont="1" applyAlignment="1">
      <alignment horizontal="right"/>
      <protection/>
    </xf>
    <xf numFmtId="0" fontId="101" fillId="0" borderId="0" xfId="68" applyFont="1" applyProtection="1">
      <alignment/>
      <protection locked="0"/>
    </xf>
    <xf numFmtId="0" fontId="101" fillId="0" borderId="0" xfId="68" applyFont="1" applyBorder="1" applyProtection="1">
      <alignment/>
      <protection locked="0"/>
    </xf>
    <xf numFmtId="0" fontId="9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wrapText="1" indent="2"/>
    </xf>
    <xf numFmtId="0" fontId="6" fillId="0" borderId="0" xfId="58" applyFont="1">
      <alignment/>
      <protection/>
    </xf>
    <xf numFmtId="0" fontId="15" fillId="0" borderId="0" xfId="58" applyFont="1">
      <alignment/>
      <protection/>
    </xf>
    <xf numFmtId="0" fontId="6" fillId="0" borderId="0" xfId="58" applyFont="1" applyAlignment="1">
      <alignment vertical="center"/>
      <protection/>
    </xf>
    <xf numFmtId="0" fontId="6" fillId="0" borderId="0" xfId="58" applyFont="1" applyAlignment="1">
      <alignment horizontal="right" vertical="center" wrapText="1"/>
      <protection/>
    </xf>
    <xf numFmtId="0" fontId="15" fillId="0" borderId="0" xfId="63" applyFont="1">
      <alignment/>
      <protection/>
    </xf>
    <xf numFmtId="0" fontId="2" fillId="40" borderId="0" xfId="63" applyFont="1" applyFill="1" applyAlignment="1">
      <alignment horizontal="left" vertical="top" wrapText="1"/>
      <protection/>
    </xf>
    <xf numFmtId="0" fontId="22" fillId="3" borderId="0" xfId="63" applyFont="1" applyFill="1">
      <alignment/>
      <protection/>
    </xf>
    <xf numFmtId="0" fontId="4" fillId="3" borderId="0" xfId="63" applyFont="1" applyFill="1" applyAlignment="1">
      <alignment horizontal="left" vertical="top" wrapText="1"/>
      <protection/>
    </xf>
    <xf numFmtId="0" fontId="22" fillId="0" borderId="0" xfId="63" applyFont="1">
      <alignment/>
      <protection/>
    </xf>
    <xf numFmtId="0" fontId="4" fillId="40" borderId="0" xfId="63" applyFont="1" applyFill="1" applyAlignment="1">
      <alignment horizontal="left" vertical="top" wrapText="1"/>
      <protection/>
    </xf>
    <xf numFmtId="0" fontId="15" fillId="0" borderId="0" xfId="58" applyFont="1" applyAlignment="1">
      <alignment vertical="center"/>
      <protection/>
    </xf>
    <xf numFmtId="0" fontId="22" fillId="3" borderId="0" xfId="63" applyFont="1" applyFill="1" applyAlignment="1">
      <alignment vertical="center"/>
      <protection/>
    </xf>
    <xf numFmtId="3" fontId="4" fillId="3" borderId="0" xfId="63" applyNumberFormat="1" applyFont="1" applyFill="1" applyAlignment="1">
      <alignment horizontal="right" vertical="center" wrapText="1"/>
      <protection/>
    </xf>
    <xf numFmtId="3" fontId="2" fillId="40" borderId="0" xfId="63" applyNumberFormat="1" applyFont="1" applyFill="1" applyAlignment="1">
      <alignment horizontal="right" vertical="center" wrapText="1"/>
      <protection/>
    </xf>
    <xf numFmtId="3" fontId="4" fillId="40" borderId="0" xfId="63" applyNumberFormat="1" applyFont="1" applyFill="1" applyAlignment="1">
      <alignment horizontal="right" vertical="center" wrapText="1"/>
      <protection/>
    </xf>
    <xf numFmtId="0" fontId="22" fillId="0" borderId="0" xfId="63" applyFont="1" applyAlignment="1">
      <alignment vertical="center"/>
      <protection/>
    </xf>
    <xf numFmtId="0" fontId="5" fillId="40" borderId="0" xfId="63" applyFont="1" applyFill="1" applyAlignment="1">
      <alignment horizontal="right" vertical="center" wrapText="1"/>
      <protection/>
    </xf>
    <xf numFmtId="0" fontId="15" fillId="0" borderId="0" xfId="63" applyFont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 indent="2"/>
    </xf>
    <xf numFmtId="3" fontId="21" fillId="0" borderId="18" xfId="71" applyNumberFormat="1" applyFont="1" applyFill="1" applyBorder="1" applyAlignment="1">
      <alignment/>
    </xf>
    <xf numFmtId="3" fontId="5" fillId="35" borderId="10" xfId="59" applyNumberFormat="1" applyFont="1" applyFill="1" applyBorder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10" fontId="19" fillId="0" borderId="18" xfId="59" applyNumberFormat="1" applyFont="1" applyFill="1" applyBorder="1" applyAlignment="1">
      <alignment horizontal="center" vertical="center"/>
      <protection/>
    </xf>
    <xf numFmtId="0" fontId="102" fillId="3" borderId="0" xfId="63" applyFont="1" applyFill="1">
      <alignment/>
      <protection/>
    </xf>
    <xf numFmtId="0" fontId="85" fillId="3" borderId="0" xfId="63" applyFont="1" applyFill="1" applyAlignment="1">
      <alignment horizontal="left" vertical="top" wrapText="1"/>
      <protection/>
    </xf>
    <xf numFmtId="3" fontId="85" fillId="3" borderId="0" xfId="63" applyNumberFormat="1" applyFont="1" applyFill="1" applyAlignment="1">
      <alignment horizontal="right" vertical="center" wrapText="1"/>
      <protection/>
    </xf>
    <xf numFmtId="0" fontId="4" fillId="40" borderId="56" xfId="58" applyFont="1" applyFill="1" applyBorder="1" applyAlignment="1">
      <alignment horizontal="center" vertical="center" wrapText="1"/>
      <protection/>
    </xf>
    <xf numFmtId="3" fontId="4" fillId="3" borderId="0" xfId="64" applyNumberFormat="1" applyFont="1" applyFill="1" applyAlignment="1">
      <alignment horizontal="right" vertical="center" wrapText="1"/>
      <protection/>
    </xf>
    <xf numFmtId="3" fontId="4" fillId="40" borderId="0" xfId="64" applyNumberFormat="1" applyFont="1" applyFill="1" applyAlignment="1">
      <alignment horizontal="right" vertical="center" wrapText="1"/>
      <protection/>
    </xf>
    <xf numFmtId="3" fontId="2" fillId="40" borderId="0" xfId="64" applyNumberFormat="1" applyFont="1" applyFill="1" applyAlignment="1">
      <alignment horizontal="right" vertical="center" wrapText="1"/>
      <protection/>
    </xf>
    <xf numFmtId="0" fontId="22" fillId="3" borderId="0" xfId="64" applyFont="1" applyFill="1">
      <alignment/>
      <protection/>
    </xf>
    <xf numFmtId="0" fontId="4" fillId="3" borderId="0" xfId="64" applyFont="1" applyFill="1" applyAlignment="1">
      <alignment horizontal="left" vertical="top" wrapText="1"/>
      <protection/>
    </xf>
    <xf numFmtId="0" fontId="22" fillId="0" borderId="0" xfId="64" applyFont="1">
      <alignment/>
      <protection/>
    </xf>
    <xf numFmtId="0" fontId="4" fillId="40" borderId="0" xfId="64" applyFont="1" applyFill="1" applyAlignment="1">
      <alignment horizontal="left" vertical="top" wrapText="1"/>
      <protection/>
    </xf>
    <xf numFmtId="0" fontId="15" fillId="0" borderId="0" xfId="64" applyFont="1">
      <alignment/>
      <protection/>
    </xf>
    <xf numFmtId="0" fontId="2" fillId="40" borderId="0" xfId="64" applyFont="1" applyFill="1" applyAlignment="1">
      <alignment horizontal="left" vertical="top" wrapText="1"/>
      <protection/>
    </xf>
    <xf numFmtId="0" fontId="15" fillId="0" borderId="0" xfId="64" applyFont="1" applyAlignment="1">
      <alignment vertical="center"/>
      <protection/>
    </xf>
    <xf numFmtId="0" fontId="20" fillId="33" borderId="49" xfId="59" applyFont="1" applyFill="1" applyBorder="1" applyAlignment="1">
      <alignment horizontal="center" vertical="center"/>
      <protection/>
    </xf>
    <xf numFmtId="0" fontId="97" fillId="33" borderId="13" xfId="59" applyFont="1" applyFill="1" applyBorder="1" applyAlignment="1">
      <alignment vertical="center"/>
      <protection/>
    </xf>
    <xf numFmtId="4" fontId="93" fillId="0" borderId="18" xfId="65" applyNumberFormat="1" applyFont="1" applyFill="1" applyBorder="1" applyAlignment="1">
      <alignment vertical="center"/>
      <protection/>
    </xf>
    <xf numFmtId="4" fontId="92" fillId="0" borderId="18" xfId="59" applyNumberFormat="1" applyFont="1" applyFill="1" applyBorder="1">
      <alignment/>
      <protection/>
    </xf>
    <xf numFmtId="4" fontId="93" fillId="0" borderId="18" xfId="66" applyNumberFormat="1" applyFont="1" applyFill="1" applyBorder="1" applyAlignment="1">
      <alignment vertical="center"/>
      <protection/>
    </xf>
    <xf numFmtId="4" fontId="92" fillId="0" borderId="18" xfId="65" applyNumberFormat="1" applyFont="1" applyFill="1" applyBorder="1">
      <alignment/>
      <protection/>
    </xf>
    <xf numFmtId="4" fontId="19" fillId="0" borderId="57" xfId="59" applyNumberFormat="1" applyFont="1" applyFill="1" applyBorder="1" applyAlignment="1">
      <alignment vertical="center"/>
      <protection/>
    </xf>
    <xf numFmtId="4" fontId="19" fillId="0" borderId="57" xfId="44" applyNumberFormat="1" applyFont="1" applyFill="1" applyBorder="1" applyAlignment="1">
      <alignment horizontal="right" vertical="center"/>
    </xf>
    <xf numFmtId="4" fontId="19" fillId="0" borderId="23" xfId="64" applyNumberFormat="1" applyFont="1" applyFill="1" applyBorder="1" applyAlignment="1">
      <alignment vertical="center"/>
      <protection/>
    </xf>
    <xf numFmtId="4" fontId="19" fillId="0" borderId="57" xfId="64" applyNumberFormat="1" applyFont="1" applyFill="1" applyBorder="1" applyAlignment="1">
      <alignment vertical="center"/>
      <protection/>
    </xf>
    <xf numFmtId="4" fontId="19" fillId="0" borderId="19" xfId="65" applyNumberFormat="1" applyFont="1" applyFill="1" applyBorder="1" applyAlignment="1">
      <alignment vertical="center"/>
      <protection/>
    </xf>
    <xf numFmtId="4" fontId="19" fillId="0" borderId="23" xfId="65" applyNumberFormat="1" applyFont="1" applyFill="1" applyBorder="1" applyAlignment="1">
      <alignment vertical="center"/>
      <protection/>
    </xf>
    <xf numFmtId="4" fontId="19" fillId="0" borderId="57" xfId="65" applyNumberFormat="1" applyFont="1" applyFill="1" applyBorder="1" applyAlignment="1">
      <alignment vertical="center"/>
      <protection/>
    </xf>
    <xf numFmtId="4" fontId="19" fillId="0" borderId="19" xfId="64" applyNumberFormat="1" applyFont="1" applyFill="1" applyBorder="1" applyAlignment="1">
      <alignment vertical="center"/>
      <protection/>
    </xf>
    <xf numFmtId="4" fontId="19" fillId="0" borderId="24" xfId="65" applyNumberFormat="1" applyFont="1" applyFill="1" applyBorder="1" applyAlignment="1">
      <alignment vertical="center"/>
      <protection/>
    </xf>
    <xf numFmtId="4" fontId="19" fillId="0" borderId="51" xfId="65" applyNumberFormat="1" applyFont="1" applyFill="1" applyBorder="1" applyAlignment="1">
      <alignment vertical="center"/>
      <protection/>
    </xf>
    <xf numFmtId="4" fontId="19" fillId="0" borderId="52" xfId="65" applyNumberFormat="1" applyFont="1" applyFill="1" applyBorder="1" applyAlignment="1">
      <alignment vertical="center"/>
      <protection/>
    </xf>
    <xf numFmtId="4" fontId="19" fillId="0" borderId="19" xfId="66" applyNumberFormat="1" applyFont="1" applyFill="1" applyBorder="1" applyAlignment="1">
      <alignment vertical="center"/>
      <protection/>
    </xf>
    <xf numFmtId="4" fontId="21" fillId="0" borderId="19" xfId="65" applyNumberFormat="1" applyFont="1" applyFill="1" applyBorder="1">
      <alignment/>
      <protection/>
    </xf>
    <xf numFmtId="4" fontId="19" fillId="0" borderId="19" xfId="65" applyNumberFormat="1" applyFont="1" applyFill="1" applyBorder="1">
      <alignment/>
      <protection/>
    </xf>
    <xf numFmtId="4" fontId="19" fillId="0" borderId="18" xfId="65" applyNumberFormat="1" applyFont="1" applyFill="1" applyBorder="1">
      <alignment/>
      <protection/>
    </xf>
    <xf numFmtId="4" fontId="21" fillId="0" borderId="19" xfId="66" applyNumberFormat="1" applyFont="1" applyFill="1" applyBorder="1">
      <alignment/>
      <protection/>
    </xf>
    <xf numFmtId="4" fontId="19" fillId="0" borderId="19" xfId="66" applyNumberFormat="1" applyFont="1" applyFill="1" applyBorder="1">
      <alignment/>
      <protection/>
    </xf>
    <xf numFmtId="4" fontId="23" fillId="39" borderId="0" xfId="59" applyNumberFormat="1" applyFont="1" applyFill="1" applyBorder="1" applyAlignment="1">
      <alignment horizontal="center" vertical="center"/>
      <protection/>
    </xf>
    <xf numFmtId="4" fontId="23" fillId="0" borderId="0" xfId="59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5" fillId="0" borderId="0" xfId="63" applyFont="1" applyAlignment="1">
      <alignment horizontal="right"/>
      <protection/>
    </xf>
    <xf numFmtId="0" fontId="7" fillId="3" borderId="0" xfId="64" applyFont="1" applyFill="1" applyAlignment="1">
      <alignment horizontal="left" vertical="top" wrapText="1"/>
      <protection/>
    </xf>
    <xf numFmtId="0" fontId="64" fillId="3" borderId="0" xfId="0" applyFont="1" applyFill="1" applyAlignment="1">
      <alignment horizontal="left" vertical="top" wrapText="1"/>
    </xf>
    <xf numFmtId="0" fontId="7" fillId="40" borderId="0" xfId="63" applyFont="1" applyFill="1" applyAlignment="1">
      <alignment horizontal="left" vertical="top" wrapText="1"/>
      <protection/>
    </xf>
    <xf numFmtId="0" fontId="6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7" fillId="3" borderId="0" xfId="63" applyFont="1" applyFill="1" applyAlignment="1">
      <alignment horizontal="left" vertical="top" wrapText="1"/>
      <protection/>
    </xf>
    <xf numFmtId="0" fontId="82" fillId="3" borderId="0" xfId="0" applyFont="1" applyFill="1" applyAlignment="1">
      <alignment horizontal="left" vertical="top" wrapText="1"/>
    </xf>
    <xf numFmtId="0" fontId="7" fillId="40" borderId="0" xfId="64" applyFont="1" applyFill="1" applyAlignment="1">
      <alignment horizontal="left" vertical="top" wrapText="1"/>
      <protection/>
    </xf>
    <xf numFmtId="0" fontId="6" fillId="0" borderId="0" xfId="58" applyFont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3" fillId="40" borderId="0" xfId="58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7" fillId="40" borderId="56" xfId="58" applyFont="1" applyFill="1" applyBorder="1" applyAlignment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10" fillId="0" borderId="0" xfId="59" applyFont="1" applyBorder="1" applyAlignment="1">
      <alignment horizontal="right"/>
      <protection/>
    </xf>
    <xf numFmtId="174" fontId="5" fillId="35" borderId="59" xfId="59" applyNumberFormat="1" applyFont="1" applyFill="1" applyBorder="1" applyAlignment="1">
      <alignment horizontal="left"/>
      <protection/>
    </xf>
    <xf numFmtId="174" fontId="5" fillId="35" borderId="60" xfId="59" applyNumberFormat="1" applyFont="1" applyFill="1" applyBorder="1" applyAlignment="1">
      <alignment horizontal="left"/>
      <protection/>
    </xf>
    <xf numFmtId="174" fontId="5" fillId="35" borderId="61" xfId="59" applyNumberFormat="1" applyFont="1" applyFill="1" applyBorder="1" applyAlignment="1">
      <alignment horizontal="left"/>
      <protection/>
    </xf>
    <xf numFmtId="174" fontId="5" fillId="34" borderId="62" xfId="59" applyNumberFormat="1" applyFont="1" applyFill="1" applyBorder="1" applyAlignment="1">
      <alignment horizontal="left"/>
      <protection/>
    </xf>
    <xf numFmtId="174" fontId="5" fillId="34" borderId="63" xfId="59" applyNumberFormat="1" applyFont="1" applyFill="1" applyBorder="1" applyAlignment="1">
      <alignment horizontal="left"/>
      <protection/>
    </xf>
    <xf numFmtId="174" fontId="5" fillId="34" borderId="64" xfId="59" applyNumberFormat="1" applyFont="1" applyFill="1" applyBorder="1" applyAlignment="1">
      <alignment horizontal="left"/>
      <protection/>
    </xf>
    <xf numFmtId="174" fontId="11" fillId="13" borderId="65" xfId="59" applyNumberFormat="1" applyFont="1" applyFill="1" applyBorder="1" applyAlignment="1">
      <alignment horizontal="left"/>
      <protection/>
    </xf>
    <xf numFmtId="174" fontId="11" fillId="13" borderId="66" xfId="59" applyNumberFormat="1" applyFont="1" applyFill="1" applyBorder="1" applyAlignment="1">
      <alignment horizontal="left"/>
      <protection/>
    </xf>
    <xf numFmtId="174" fontId="11" fillId="13" borderId="67" xfId="59" applyNumberFormat="1" applyFont="1" applyFill="1" applyBorder="1" applyAlignment="1">
      <alignment horizontal="left"/>
      <protection/>
    </xf>
    <xf numFmtId="0" fontId="5" fillId="35" borderId="38" xfId="59" applyFont="1" applyFill="1" applyBorder="1" applyAlignment="1">
      <alignment horizontal="left"/>
      <protection/>
    </xf>
    <xf numFmtId="0" fontId="5" fillId="35" borderId="12" xfId="59" applyFont="1" applyFill="1" applyBorder="1" applyAlignment="1">
      <alignment horizontal="left"/>
      <protection/>
    </xf>
    <xf numFmtId="0" fontId="5" fillId="35" borderId="48" xfId="59" applyFont="1" applyFill="1" applyBorder="1" applyAlignment="1">
      <alignment horizontal="left"/>
      <protection/>
    </xf>
    <xf numFmtId="174" fontId="5" fillId="13" borderId="33" xfId="59" applyNumberFormat="1" applyFont="1" applyFill="1" applyBorder="1" applyAlignment="1">
      <alignment horizontal="left"/>
      <protection/>
    </xf>
    <xf numFmtId="0" fontId="5" fillId="13" borderId="33" xfId="59" applyFont="1" applyFill="1" applyBorder="1" applyAlignment="1">
      <alignment horizontal="left"/>
      <protection/>
    </xf>
    <xf numFmtId="0" fontId="5" fillId="35" borderId="38" xfId="59" applyFont="1" applyFill="1" applyBorder="1" applyAlignment="1">
      <alignment horizontal="left" vertical="center"/>
      <protection/>
    </xf>
    <xf numFmtId="0" fontId="5" fillId="35" borderId="12" xfId="59" applyFont="1" applyFill="1" applyBorder="1" applyAlignment="1">
      <alignment horizontal="left" vertical="center"/>
      <protection/>
    </xf>
    <xf numFmtId="0" fontId="5" fillId="35" borderId="48" xfId="59" applyFont="1" applyFill="1" applyBorder="1" applyAlignment="1">
      <alignment horizontal="left" vertical="center"/>
      <protection/>
    </xf>
    <xf numFmtId="0" fontId="23" fillId="0" borderId="0" xfId="59" applyFont="1" applyAlignment="1">
      <alignment horizontal="right"/>
      <protection/>
    </xf>
    <xf numFmtId="174" fontId="5" fillId="35" borderId="38" xfId="59" applyNumberFormat="1" applyFont="1" applyFill="1" applyBorder="1" applyAlignment="1">
      <alignment horizontal="left"/>
      <protection/>
    </xf>
    <xf numFmtId="174" fontId="5" fillId="35" borderId="12" xfId="59" applyNumberFormat="1" applyFont="1" applyFill="1" applyBorder="1" applyAlignment="1">
      <alignment horizontal="left"/>
      <protection/>
    </xf>
    <xf numFmtId="174" fontId="5" fillId="35" borderId="48" xfId="59" applyNumberFormat="1" applyFont="1" applyFill="1" applyBorder="1" applyAlignment="1">
      <alignment horizontal="left"/>
      <protection/>
    </xf>
    <xf numFmtId="0" fontId="21" fillId="0" borderId="68" xfId="59" applyFont="1" applyFill="1" applyBorder="1" applyAlignment="1">
      <alignment horizontal="center" vertical="center"/>
      <protection/>
    </xf>
    <xf numFmtId="0" fontId="21" fillId="0" borderId="69" xfId="59" applyFont="1" applyFill="1" applyBorder="1" applyAlignment="1">
      <alignment horizontal="center" vertical="center"/>
      <protection/>
    </xf>
    <xf numFmtId="3" fontId="19" fillId="0" borderId="18" xfId="59" applyNumberFormat="1" applyFont="1" applyFill="1" applyBorder="1" applyAlignment="1">
      <alignment horizontal="center" vertical="center" wrapText="1"/>
      <protection/>
    </xf>
    <xf numFmtId="0" fontId="19" fillId="0" borderId="19" xfId="59" applyFont="1" applyFill="1" applyBorder="1" applyAlignment="1">
      <alignment horizontal="center" vertical="center" wrapText="1"/>
      <protection/>
    </xf>
    <xf numFmtId="175" fontId="19" fillId="0" borderId="18" xfId="44" applyNumberFormat="1" applyFont="1" applyFill="1" applyBorder="1" applyAlignment="1">
      <alignment horizontal="center" vertical="center"/>
    </xf>
    <xf numFmtId="175" fontId="19" fillId="0" borderId="19" xfId="44" applyNumberFormat="1" applyFont="1" applyFill="1" applyBorder="1" applyAlignment="1">
      <alignment horizontal="center" vertical="center"/>
    </xf>
    <xf numFmtId="0" fontId="21" fillId="0" borderId="18" xfId="59" applyFont="1" applyFill="1" applyBorder="1" applyAlignment="1">
      <alignment horizontal="center" vertical="center" wrapText="1"/>
      <protection/>
    </xf>
    <xf numFmtId="0" fontId="21" fillId="0" borderId="19" xfId="59" applyFont="1" applyFill="1" applyBorder="1" applyAlignment="1">
      <alignment horizontal="center" vertical="center" wrapText="1"/>
      <protection/>
    </xf>
    <xf numFmtId="175" fontId="21" fillId="0" borderId="18" xfId="44" applyNumberFormat="1" applyFont="1" applyFill="1" applyBorder="1" applyAlignment="1">
      <alignment horizontal="center" vertical="center"/>
    </xf>
    <xf numFmtId="175" fontId="21" fillId="0" borderId="19" xfId="44" applyNumberFormat="1" applyFont="1" applyFill="1" applyBorder="1" applyAlignment="1">
      <alignment horizontal="center" vertical="center"/>
    </xf>
    <xf numFmtId="0" fontId="19" fillId="0" borderId="68" xfId="59" applyFont="1" applyFill="1" applyBorder="1" applyAlignment="1">
      <alignment horizontal="center" vertical="center"/>
      <protection/>
    </xf>
    <xf numFmtId="0" fontId="19" fillId="0" borderId="69" xfId="59" applyFont="1" applyFill="1" applyBorder="1" applyAlignment="1">
      <alignment horizontal="center" vertical="center"/>
      <protection/>
    </xf>
    <xf numFmtId="0" fontId="19" fillId="0" borderId="18" xfId="59" applyFont="1" applyFill="1" applyBorder="1" applyAlignment="1">
      <alignment horizontal="center" wrapText="1"/>
      <protection/>
    </xf>
    <xf numFmtId="0" fontId="19" fillId="0" borderId="19" xfId="59" applyFont="1" applyFill="1" applyBorder="1" applyAlignment="1">
      <alignment horizontal="center" wrapText="1"/>
      <protection/>
    </xf>
    <xf numFmtId="0" fontId="19" fillId="0" borderId="18" xfId="59" applyFont="1" applyFill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0" fontId="5" fillId="0" borderId="38" xfId="59" applyFont="1" applyBorder="1" applyAlignment="1">
      <alignment horizontal="right" vertical="center"/>
      <protection/>
    </xf>
    <xf numFmtId="0" fontId="5" fillId="0" borderId="12" xfId="59" applyFont="1" applyBorder="1" applyAlignment="1">
      <alignment horizontal="right" vertical="center"/>
      <protection/>
    </xf>
    <xf numFmtId="0" fontId="5" fillId="0" borderId="48" xfId="59" applyFont="1" applyBorder="1" applyAlignment="1">
      <alignment horizontal="right" vertical="center"/>
      <protection/>
    </xf>
    <xf numFmtId="174" fontId="5" fillId="35" borderId="70" xfId="59" applyNumberFormat="1" applyFont="1" applyFill="1" applyBorder="1" applyAlignment="1">
      <alignment horizontal="left"/>
      <protection/>
    </xf>
    <xf numFmtId="174" fontId="5" fillId="35" borderId="71" xfId="59" applyNumberFormat="1" applyFont="1" applyFill="1" applyBorder="1" applyAlignment="1">
      <alignment horizontal="left"/>
      <protection/>
    </xf>
    <xf numFmtId="174" fontId="5" fillId="35" borderId="72" xfId="59" applyNumberFormat="1" applyFont="1" applyFill="1" applyBorder="1" applyAlignment="1">
      <alignment horizontal="left"/>
      <protection/>
    </xf>
    <xf numFmtId="174" fontId="5" fillId="13" borderId="73" xfId="59" applyNumberFormat="1" applyFont="1" applyFill="1" applyBorder="1" applyAlignment="1">
      <alignment horizontal="left"/>
      <protection/>
    </xf>
    <xf numFmtId="174" fontId="5" fillId="13" borderId="66" xfId="59" applyNumberFormat="1" applyFont="1" applyFill="1" applyBorder="1" applyAlignment="1">
      <alignment horizontal="left"/>
      <protection/>
    </xf>
    <xf numFmtId="174" fontId="5" fillId="13" borderId="74" xfId="59" applyNumberFormat="1" applyFont="1" applyFill="1" applyBorder="1" applyAlignment="1">
      <alignment horizontal="left"/>
      <protection/>
    </xf>
    <xf numFmtId="0" fontId="9" fillId="0" borderId="10" xfId="59" applyFont="1" applyFill="1" applyBorder="1" applyAlignment="1">
      <alignment horizontal="right" vertical="center"/>
      <protection/>
    </xf>
    <xf numFmtId="0" fontId="9" fillId="0" borderId="10" xfId="59" applyFont="1" applyFill="1" applyBorder="1" applyAlignment="1">
      <alignment horizontal="right" vertical="center" wrapText="1"/>
      <protection/>
    </xf>
    <xf numFmtId="0" fontId="21" fillId="0" borderId="75" xfId="64" applyFont="1" applyFill="1" applyBorder="1" applyAlignment="1">
      <alignment horizontal="center" vertical="center" wrapText="1"/>
      <protection/>
    </xf>
    <xf numFmtId="0" fontId="21" fillId="0" borderId="76" xfId="64" applyFont="1" applyFill="1" applyBorder="1" applyAlignment="1">
      <alignment horizontal="center" vertical="center" wrapText="1"/>
      <protection/>
    </xf>
    <xf numFmtId="4" fontId="92" fillId="0" borderId="75" xfId="44" applyNumberFormat="1" applyFont="1" applyFill="1" applyBorder="1" applyAlignment="1">
      <alignment horizontal="center" vertical="center"/>
    </xf>
    <xf numFmtId="4" fontId="92" fillId="0" borderId="76" xfId="44" applyNumberFormat="1" applyFont="1" applyFill="1" applyBorder="1" applyAlignment="1">
      <alignment horizontal="center" vertical="center"/>
    </xf>
    <xf numFmtId="0" fontId="21" fillId="0" borderId="75" xfId="59" applyFont="1" applyFill="1" applyBorder="1" applyAlignment="1">
      <alignment horizontal="center" vertical="center" wrapText="1"/>
      <protection/>
    </xf>
    <xf numFmtId="0" fontId="21" fillId="0" borderId="76" xfId="59" applyFont="1" applyFill="1" applyBorder="1" applyAlignment="1">
      <alignment horizontal="center" vertical="center" wrapText="1"/>
      <protection/>
    </xf>
    <xf numFmtId="0" fontId="21" fillId="0" borderId="77" xfId="59" applyFont="1" applyFill="1" applyBorder="1" applyAlignment="1">
      <alignment horizontal="center" vertical="center"/>
      <protection/>
    </xf>
    <xf numFmtId="0" fontId="21" fillId="0" borderId="78" xfId="59" applyFont="1" applyFill="1" applyBorder="1" applyAlignment="1">
      <alignment horizontal="center" vertical="center"/>
      <protection/>
    </xf>
    <xf numFmtId="4" fontId="21" fillId="0" borderId="75" xfId="44" applyNumberFormat="1" applyFont="1" applyFill="1" applyBorder="1" applyAlignment="1">
      <alignment horizontal="center" vertical="center"/>
    </xf>
    <xf numFmtId="4" fontId="21" fillId="0" borderId="76" xfId="44" applyNumberFormat="1" applyFont="1" applyFill="1" applyBorder="1" applyAlignment="1">
      <alignment horizontal="center" vertical="center"/>
    </xf>
    <xf numFmtId="0" fontId="7" fillId="0" borderId="0" xfId="64" applyFont="1" applyBorder="1" applyAlignment="1">
      <alignment horizontal="center"/>
      <protection/>
    </xf>
    <xf numFmtId="0" fontId="20" fillId="33" borderId="79" xfId="59" applyFont="1" applyFill="1" applyBorder="1" applyAlignment="1">
      <alignment horizontal="center" vertical="center" wrapText="1"/>
      <protection/>
    </xf>
    <xf numFmtId="0" fontId="20" fillId="33" borderId="80" xfId="59" applyFont="1" applyFill="1" applyBorder="1" applyAlignment="1">
      <alignment horizontal="center" vertical="center" wrapText="1"/>
      <protection/>
    </xf>
    <xf numFmtId="0" fontId="20" fillId="33" borderId="81" xfId="59" applyFont="1" applyFill="1" applyBorder="1" applyAlignment="1">
      <alignment horizontal="center" vertical="center" wrapText="1"/>
      <protection/>
    </xf>
    <xf numFmtId="0" fontId="20" fillId="33" borderId="82" xfId="59" applyFont="1" applyFill="1" applyBorder="1" applyAlignment="1">
      <alignment horizontal="center" vertical="center" wrapText="1"/>
      <protection/>
    </xf>
    <xf numFmtId="0" fontId="20" fillId="33" borderId="13" xfId="59" applyFont="1" applyFill="1" applyBorder="1" applyAlignment="1">
      <alignment horizontal="center" vertical="center"/>
      <protection/>
    </xf>
    <xf numFmtId="0" fontId="20" fillId="33" borderId="49" xfId="59" applyFont="1" applyFill="1" applyBorder="1" applyAlignment="1">
      <alignment horizontal="center" vertical="center"/>
      <protection/>
    </xf>
    <xf numFmtId="0" fontId="19" fillId="0" borderId="18" xfId="64" applyFont="1" applyFill="1" applyBorder="1" applyAlignment="1">
      <alignment horizontal="center" vertical="center" wrapText="1"/>
      <protection/>
    </xf>
    <xf numFmtId="0" fontId="19" fillId="0" borderId="19" xfId="64" applyFont="1" applyFill="1" applyBorder="1" applyAlignment="1">
      <alignment horizontal="center" vertical="center" wrapText="1"/>
      <protection/>
    </xf>
    <xf numFmtId="4" fontId="19" fillId="0" borderId="18" xfId="44" applyNumberFormat="1" applyFont="1" applyFill="1" applyBorder="1" applyAlignment="1">
      <alignment horizontal="center" vertical="center"/>
    </xf>
    <xf numFmtId="4" fontId="19" fillId="0" borderId="19" xfId="44" applyNumberFormat="1" applyFont="1" applyFill="1" applyBorder="1" applyAlignment="1">
      <alignment horizontal="center" vertical="center"/>
    </xf>
    <xf numFmtId="0" fontId="19" fillId="0" borderId="27" xfId="59" applyFont="1" applyFill="1" applyBorder="1" applyAlignment="1">
      <alignment horizontal="center" wrapText="1"/>
      <protection/>
    </xf>
    <xf numFmtId="0" fontId="19" fillId="0" borderId="52" xfId="59" applyFont="1" applyFill="1" applyBorder="1" applyAlignment="1">
      <alignment horizontal="center" wrapText="1"/>
      <protection/>
    </xf>
    <xf numFmtId="14" fontId="19" fillId="0" borderId="41" xfId="59" applyNumberFormat="1" applyFont="1" applyFill="1" applyBorder="1" applyAlignment="1">
      <alignment horizontal="center" vertical="center" wrapText="1"/>
      <protection/>
    </xf>
    <xf numFmtId="0" fontId="19" fillId="0" borderId="54" xfId="59" applyFont="1" applyFill="1" applyBorder="1" applyAlignment="1">
      <alignment horizontal="center" vertical="center" wrapText="1"/>
      <protection/>
    </xf>
    <xf numFmtId="0" fontId="19" fillId="0" borderId="41" xfId="59" applyFont="1" applyFill="1" applyBorder="1" applyAlignment="1">
      <alignment horizontal="center" wrapText="1"/>
      <protection/>
    </xf>
    <xf numFmtId="0" fontId="19" fillId="0" borderId="54" xfId="59" applyFont="1" applyFill="1" applyBorder="1" applyAlignment="1">
      <alignment horizontal="center" wrapText="1"/>
      <protection/>
    </xf>
    <xf numFmtId="0" fontId="19" fillId="0" borderId="27" xfId="59" applyFont="1" applyFill="1" applyBorder="1" applyAlignment="1">
      <alignment horizontal="center" vertical="center" wrapText="1"/>
      <protection/>
    </xf>
    <xf numFmtId="0" fontId="19" fillId="0" borderId="52" xfId="59" applyFont="1" applyFill="1" applyBorder="1" applyAlignment="1">
      <alignment horizontal="center" vertical="center" wrapText="1"/>
      <protection/>
    </xf>
    <xf numFmtId="3" fontId="19" fillId="0" borderId="18" xfId="64" applyNumberFormat="1" applyFont="1" applyFill="1" applyBorder="1" applyAlignment="1">
      <alignment horizontal="center" vertical="center" wrapText="1"/>
      <protection/>
    </xf>
    <xf numFmtId="4" fontId="19" fillId="0" borderId="18" xfId="44" applyNumberFormat="1" applyFont="1" applyFill="1" applyBorder="1" applyAlignment="1">
      <alignment horizontal="center" vertical="center" wrapText="1"/>
    </xf>
    <xf numFmtId="4" fontId="19" fillId="0" borderId="19" xfId="44" applyNumberFormat="1" applyFont="1" applyFill="1" applyBorder="1" applyAlignment="1">
      <alignment horizontal="center" vertical="center" wrapText="1"/>
    </xf>
    <xf numFmtId="0" fontId="19" fillId="0" borderId="83" xfId="59" applyFont="1" applyFill="1" applyBorder="1" applyAlignment="1">
      <alignment horizontal="center" wrapText="1"/>
      <protection/>
    </xf>
    <xf numFmtId="0" fontId="19" fillId="0" borderId="84" xfId="59" applyFont="1" applyFill="1" applyBorder="1" applyAlignment="1">
      <alignment horizontal="center" wrapText="1"/>
      <protection/>
    </xf>
    <xf numFmtId="0" fontId="19" fillId="0" borderId="83" xfId="59" applyFont="1" applyFill="1" applyBorder="1" applyAlignment="1">
      <alignment horizontal="center" vertical="center" wrapText="1"/>
      <protection/>
    </xf>
    <xf numFmtId="0" fontId="19" fillId="0" borderId="84" xfId="59" applyFont="1" applyFill="1" applyBorder="1" applyAlignment="1">
      <alignment horizontal="center" vertical="center" wrapText="1"/>
      <protection/>
    </xf>
    <xf numFmtId="0" fontId="19" fillId="0" borderId="85" xfId="59" applyFont="1" applyFill="1" applyBorder="1" applyAlignment="1">
      <alignment horizontal="center" vertical="center"/>
      <protection/>
    </xf>
    <xf numFmtId="0" fontId="19" fillId="0" borderId="24" xfId="64" applyFont="1" applyFill="1" applyBorder="1" applyAlignment="1">
      <alignment horizontal="center" vertical="center" wrapText="1"/>
      <protection/>
    </xf>
    <xf numFmtId="4" fontId="19" fillId="0" borderId="24" xfId="44" applyNumberFormat="1" applyFont="1" applyFill="1" applyBorder="1" applyAlignment="1">
      <alignment horizontal="center" vertical="center"/>
    </xf>
    <xf numFmtId="0" fontId="19" fillId="0" borderId="86" xfId="59" applyFont="1" applyFill="1" applyBorder="1" applyAlignment="1">
      <alignment horizontal="center" vertical="center"/>
      <protection/>
    </xf>
    <xf numFmtId="0" fontId="19" fillId="0" borderId="46" xfId="64" applyFont="1" applyFill="1" applyBorder="1" applyAlignment="1">
      <alignment horizontal="center" vertical="center" wrapText="1"/>
      <protection/>
    </xf>
    <xf numFmtId="4" fontId="19" fillId="0" borderId="46" xfId="44" applyNumberFormat="1" applyFont="1" applyFill="1" applyBorder="1" applyAlignment="1">
      <alignment horizontal="center" vertical="center"/>
    </xf>
    <xf numFmtId="0" fontId="19" fillId="0" borderId="75" xfId="64" applyFont="1" applyFill="1" applyBorder="1" applyAlignment="1">
      <alignment horizontal="center" vertical="center" wrapText="1"/>
      <protection/>
    </xf>
    <xf numFmtId="0" fontId="19" fillId="0" borderId="76" xfId="64" applyFont="1" applyFill="1" applyBorder="1" applyAlignment="1">
      <alignment horizontal="center" vertical="center" wrapText="1"/>
      <protection/>
    </xf>
    <xf numFmtId="4" fontId="19" fillId="0" borderId="75" xfId="44" applyNumberFormat="1" applyFont="1" applyFill="1" applyBorder="1" applyAlignment="1">
      <alignment horizontal="center" vertical="center"/>
    </xf>
    <xf numFmtId="4" fontId="19" fillId="0" borderId="76" xfId="44" applyNumberFormat="1" applyFont="1" applyFill="1" applyBorder="1" applyAlignment="1">
      <alignment horizontal="center" vertical="center"/>
    </xf>
    <xf numFmtId="0" fontId="19" fillId="0" borderId="75" xfId="59" applyFont="1" applyFill="1" applyBorder="1" applyAlignment="1">
      <alignment horizontal="center" vertical="center" wrapText="1"/>
      <protection/>
    </xf>
    <xf numFmtId="0" fontId="19" fillId="0" borderId="76" xfId="59" applyFont="1" applyFill="1" applyBorder="1" applyAlignment="1">
      <alignment horizontal="center" vertical="center" wrapText="1"/>
      <protection/>
    </xf>
    <xf numFmtId="0" fontId="19" fillId="0" borderId="77" xfId="59" applyFont="1" applyFill="1" applyBorder="1" applyAlignment="1">
      <alignment horizontal="center" vertical="center"/>
      <protection/>
    </xf>
    <xf numFmtId="0" fontId="19" fillId="0" borderId="78" xfId="59" applyFont="1" applyFill="1" applyBorder="1" applyAlignment="1">
      <alignment horizontal="center" vertical="center"/>
      <protection/>
    </xf>
    <xf numFmtId="0" fontId="21" fillId="0" borderId="18" xfId="64" applyFont="1" applyFill="1" applyBorder="1" applyAlignment="1">
      <alignment horizontal="center" vertical="center" wrapText="1"/>
      <protection/>
    </xf>
    <xf numFmtId="0" fontId="21" fillId="0" borderId="19" xfId="64" applyFont="1" applyFill="1" applyBorder="1" applyAlignment="1">
      <alignment horizontal="center" vertical="center" wrapText="1"/>
      <protection/>
    </xf>
    <xf numFmtId="4" fontId="21" fillId="0" borderId="18" xfId="44" applyNumberFormat="1" applyFont="1" applyFill="1" applyBorder="1" applyAlignment="1">
      <alignment horizontal="center" vertical="center"/>
    </xf>
    <xf numFmtId="4" fontId="21" fillId="0" borderId="19" xfId="44" applyNumberFormat="1" applyFont="1" applyFill="1" applyBorder="1" applyAlignment="1">
      <alignment horizontal="center" vertical="center"/>
    </xf>
    <xf numFmtId="4" fontId="21" fillId="0" borderId="75" xfId="64" applyNumberFormat="1" applyFont="1" applyFill="1" applyBorder="1" applyAlignment="1">
      <alignment horizontal="center" vertical="center" wrapText="1"/>
      <protection/>
    </xf>
    <xf numFmtId="4" fontId="21" fillId="0" borderId="76" xfId="64" applyNumberFormat="1" applyFont="1" applyFill="1" applyBorder="1" applyAlignment="1">
      <alignment horizontal="center" vertical="center" wrapText="1"/>
      <protection/>
    </xf>
    <xf numFmtId="0" fontId="5" fillId="35" borderId="87" xfId="59" applyFont="1" applyFill="1" applyBorder="1" applyAlignment="1">
      <alignment horizontal="left"/>
      <protection/>
    </xf>
    <xf numFmtId="0" fontId="5" fillId="35" borderId="88" xfId="59" applyFont="1" applyFill="1" applyBorder="1" applyAlignment="1">
      <alignment horizontal="left"/>
      <protection/>
    </xf>
    <xf numFmtId="0" fontId="20" fillId="0" borderId="0" xfId="59" applyFont="1" applyAlignment="1">
      <alignment horizontal="right"/>
      <protection/>
    </xf>
    <xf numFmtId="174" fontId="5" fillId="35" borderId="51" xfId="59" applyNumberFormat="1" applyFont="1" applyFill="1" applyBorder="1" applyAlignment="1">
      <alignment horizontal="left"/>
      <protection/>
    </xf>
    <xf numFmtId="174" fontId="5" fillId="35" borderId="89" xfId="59" applyNumberFormat="1" applyFont="1" applyFill="1" applyBorder="1" applyAlignment="1">
      <alignment horizontal="left"/>
      <protection/>
    </xf>
    <xf numFmtId="174" fontId="5" fillId="35" borderId="90" xfId="59" applyNumberFormat="1" applyFont="1" applyFill="1" applyBorder="1" applyAlignment="1">
      <alignment horizontal="left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 2" xfId="59"/>
    <cellStyle name="Normal 3" xfId="60"/>
    <cellStyle name="Normal 3 2" xfId="61"/>
    <cellStyle name="Normal 4" xfId="62"/>
    <cellStyle name="Normal 5" xfId="63"/>
    <cellStyle name="Normal 5 2 2" xfId="64"/>
    <cellStyle name="Normal 6 2" xfId="65"/>
    <cellStyle name="Normal 6 2 3" xfId="66"/>
    <cellStyle name="Normal 7" xfId="67"/>
    <cellStyle name="Normal_Pamatformas 2" xfId="68"/>
    <cellStyle name="Note" xfId="69"/>
    <cellStyle name="Output" xfId="70"/>
    <cellStyle name="Percent" xfId="71"/>
    <cellStyle name="Percent 2 3" xfId="72"/>
    <cellStyle name="Percent 4 2" xfId="73"/>
    <cellStyle name="Percent 6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zoomScalePageLayoutView="0" workbookViewId="0" topLeftCell="A1">
      <selection activeCell="A95" sqref="A95:E95"/>
    </sheetView>
  </sheetViews>
  <sheetFormatPr defaultColWidth="9.140625" defaultRowHeight="15"/>
  <cols>
    <col min="1" max="1" width="9.8515625" style="99" customWidth="1"/>
    <col min="2" max="2" width="41.57421875" style="100" customWidth="1"/>
    <col min="3" max="3" width="13.57421875" style="3" customWidth="1"/>
    <col min="4" max="4" width="13.140625" style="3" customWidth="1"/>
    <col min="5" max="5" width="15.57421875" style="3" customWidth="1"/>
    <col min="6" max="6" width="9.140625" style="3" customWidth="1"/>
    <col min="7" max="7" width="10.140625" style="3" bestFit="1" customWidth="1"/>
    <col min="8" max="16384" width="9.140625" style="3" customWidth="1"/>
  </cols>
  <sheetData>
    <row r="1" spans="1:7" ht="15">
      <c r="A1" s="1"/>
      <c r="D1" s="425" t="s">
        <v>991</v>
      </c>
      <c r="E1" s="425"/>
      <c r="G1" s="63"/>
    </row>
    <row r="2" spans="2:5" ht="15">
      <c r="B2" s="426" t="s">
        <v>994</v>
      </c>
      <c r="C2" s="426"/>
      <c r="D2" s="426"/>
      <c r="E2" s="426"/>
    </row>
    <row r="3" spans="3:5" ht="15">
      <c r="C3" s="427" t="s">
        <v>992</v>
      </c>
      <c r="D3" s="427"/>
      <c r="E3" s="427"/>
    </row>
    <row r="5" spans="1:5" ht="39.75" customHeight="1">
      <c r="A5" s="428" t="s">
        <v>993</v>
      </c>
      <c r="B5" s="429"/>
      <c r="C5" s="429"/>
      <c r="D5" s="429"/>
      <c r="E5" s="429"/>
    </row>
    <row r="6" spans="1:5" ht="23.25" customHeight="1">
      <c r="A6" s="430" t="s">
        <v>0</v>
      </c>
      <c r="B6" s="430"/>
      <c r="C6" s="430"/>
      <c r="D6" s="430"/>
      <c r="E6" s="430"/>
    </row>
    <row r="7" ht="15">
      <c r="E7" s="101"/>
    </row>
    <row r="8" spans="1:5" ht="38.25">
      <c r="A8" s="98" t="s">
        <v>1</v>
      </c>
      <c r="B8" s="98" t="s">
        <v>2</v>
      </c>
      <c r="C8" s="98" t="s">
        <v>496</v>
      </c>
      <c r="D8" s="98" t="s">
        <v>495</v>
      </c>
      <c r="E8" s="260" t="s">
        <v>983</v>
      </c>
    </row>
    <row r="9" spans="1:5" ht="21.75" customHeight="1">
      <c r="A9" s="4"/>
      <c r="B9" s="5" t="s">
        <v>3</v>
      </c>
      <c r="C9" s="6">
        <f>C10+C20+C50+C60</f>
        <v>89837465</v>
      </c>
      <c r="D9" s="6">
        <f>D10+D20+D50+D60</f>
        <v>55450</v>
      </c>
      <c r="E9" s="6">
        <f>E10+E20+E50+E60</f>
        <v>89892915</v>
      </c>
    </row>
    <row r="10" spans="1:5" ht="15">
      <c r="A10" s="7"/>
      <c r="B10" s="8" t="s">
        <v>4</v>
      </c>
      <c r="C10" s="9">
        <f>C11+C13+C17</f>
        <v>52388712</v>
      </c>
      <c r="D10" s="9">
        <f>D11+D13+D17</f>
        <v>0</v>
      </c>
      <c r="E10" s="9">
        <f>E11+E13+E17</f>
        <v>52388712</v>
      </c>
    </row>
    <row r="11" spans="1:5" ht="17.25" customHeight="1">
      <c r="A11" s="10" t="s">
        <v>5</v>
      </c>
      <c r="B11" s="11" t="s">
        <v>6</v>
      </c>
      <c r="C11" s="12">
        <f>C12</f>
        <v>48504712</v>
      </c>
      <c r="D11" s="12">
        <f>D12</f>
        <v>0</v>
      </c>
      <c r="E11" s="12">
        <f>E12</f>
        <v>48504712</v>
      </c>
    </row>
    <row r="12" spans="1:5" ht="38.25">
      <c r="A12" s="16" t="s">
        <v>8</v>
      </c>
      <c r="B12" s="17" t="s">
        <v>429</v>
      </c>
      <c r="C12" s="18">
        <f>48220903+283809</f>
        <v>48504712</v>
      </c>
      <c r="D12" s="15">
        <v>0</v>
      </c>
      <c r="E12" s="18">
        <f>C12+D12</f>
        <v>48504712</v>
      </c>
    </row>
    <row r="13" spans="1:5" ht="15">
      <c r="A13" s="10" t="s">
        <v>9</v>
      </c>
      <c r="B13" s="11" t="s">
        <v>10</v>
      </c>
      <c r="C13" s="12">
        <f>C14+C15+C16</f>
        <v>3794000</v>
      </c>
      <c r="D13" s="12">
        <f>D14+D15+D16</f>
        <v>0</v>
      </c>
      <c r="E13" s="12">
        <f>E14+E15+E16</f>
        <v>3794000</v>
      </c>
    </row>
    <row r="14" spans="1:5" ht="15">
      <c r="A14" s="16" t="s">
        <v>11</v>
      </c>
      <c r="B14" s="17" t="s">
        <v>12</v>
      </c>
      <c r="C14" s="18">
        <v>1438561</v>
      </c>
      <c r="D14" s="18">
        <v>0</v>
      </c>
      <c r="E14" s="18">
        <f>C14+D14</f>
        <v>1438561</v>
      </c>
    </row>
    <row r="15" spans="1:5" ht="15">
      <c r="A15" s="16" t="s">
        <v>13</v>
      </c>
      <c r="B15" s="17" t="s">
        <v>14</v>
      </c>
      <c r="C15" s="18">
        <v>1499393</v>
      </c>
      <c r="D15" s="18">
        <v>0</v>
      </c>
      <c r="E15" s="18">
        <f>C15+D15</f>
        <v>1499393</v>
      </c>
    </row>
    <row r="16" spans="1:5" ht="15">
      <c r="A16" s="16" t="s">
        <v>15</v>
      </c>
      <c r="B16" s="17" t="s">
        <v>16</v>
      </c>
      <c r="C16" s="18">
        <v>856046</v>
      </c>
      <c r="D16" s="18">
        <v>0</v>
      </c>
      <c r="E16" s="18">
        <f>C16+D16</f>
        <v>856046</v>
      </c>
    </row>
    <row r="17" spans="1:5" ht="15">
      <c r="A17" s="10" t="s">
        <v>156</v>
      </c>
      <c r="B17" s="11" t="s">
        <v>430</v>
      </c>
      <c r="C17" s="12">
        <f>C18+C19</f>
        <v>90000</v>
      </c>
      <c r="D17" s="12">
        <f>D18+D19</f>
        <v>0</v>
      </c>
      <c r="E17" s="12">
        <f>E18+E19</f>
        <v>90000</v>
      </c>
    </row>
    <row r="18" spans="1:5" ht="15">
      <c r="A18" s="16" t="s">
        <v>17</v>
      </c>
      <c r="B18" s="17" t="s">
        <v>18</v>
      </c>
      <c r="C18" s="18">
        <v>60000</v>
      </c>
      <c r="D18" s="18">
        <v>0</v>
      </c>
      <c r="E18" s="18">
        <f>C18+D18</f>
        <v>60000</v>
      </c>
    </row>
    <row r="19" spans="1:5" ht="15">
      <c r="A19" s="16" t="s">
        <v>19</v>
      </c>
      <c r="B19" s="20" t="s">
        <v>20</v>
      </c>
      <c r="C19" s="18">
        <v>30000</v>
      </c>
      <c r="D19" s="18">
        <v>0</v>
      </c>
      <c r="E19" s="18">
        <f>C19+D19</f>
        <v>30000</v>
      </c>
    </row>
    <row r="20" spans="1:7" ht="15">
      <c r="A20" s="7"/>
      <c r="B20" s="8" t="s">
        <v>21</v>
      </c>
      <c r="C20" s="9">
        <f>C21+C35+C39+C46</f>
        <v>621328</v>
      </c>
      <c r="D20" s="9">
        <f>D21+D35+D39+D46</f>
        <v>0</v>
      </c>
      <c r="E20" s="9">
        <f>E21+E35+E39+E46</f>
        <v>621328</v>
      </c>
      <c r="G20" s="64"/>
    </row>
    <row r="21" spans="1:7" ht="15">
      <c r="A21" s="10" t="s">
        <v>22</v>
      </c>
      <c r="B21" s="11" t="s">
        <v>23</v>
      </c>
      <c r="C21" s="12">
        <f>C22+C27</f>
        <v>68600</v>
      </c>
      <c r="D21" s="12">
        <f>D22+D27</f>
        <v>0</v>
      </c>
      <c r="E21" s="12">
        <f>E22+E27</f>
        <v>68600</v>
      </c>
      <c r="G21" s="64"/>
    </row>
    <row r="22" spans="1:5" ht="15">
      <c r="A22" s="19" t="s">
        <v>24</v>
      </c>
      <c r="B22" s="11" t="s">
        <v>25</v>
      </c>
      <c r="C22" s="12">
        <f>SUM(C23:C26)</f>
        <v>16000</v>
      </c>
      <c r="D22" s="12">
        <f>SUM(D23:D26)</f>
        <v>0</v>
      </c>
      <c r="E22" s="12">
        <f>SUM(E23:E26)</f>
        <v>16000</v>
      </c>
    </row>
    <row r="23" spans="1:5" ht="38.25">
      <c r="A23" s="16" t="s">
        <v>26</v>
      </c>
      <c r="B23" s="17" t="s">
        <v>27</v>
      </c>
      <c r="C23" s="18">
        <v>3000</v>
      </c>
      <c r="D23" s="18">
        <v>0</v>
      </c>
      <c r="E23" s="18">
        <f>C23+D23</f>
        <v>3000</v>
      </c>
    </row>
    <row r="24" spans="1:5" ht="63.75">
      <c r="A24" s="16" t="s">
        <v>28</v>
      </c>
      <c r="B24" s="17" t="s">
        <v>29</v>
      </c>
      <c r="C24" s="18">
        <v>10000</v>
      </c>
      <c r="D24" s="18">
        <v>0</v>
      </c>
      <c r="E24" s="18">
        <f aca="true" t="shared" si="0" ref="E24:E34">C24+D24</f>
        <v>10000</v>
      </c>
    </row>
    <row r="25" spans="1:5" ht="25.5">
      <c r="A25" s="16" t="s">
        <v>497</v>
      </c>
      <c r="B25" s="17" t="s">
        <v>498</v>
      </c>
      <c r="C25" s="18">
        <v>500</v>
      </c>
      <c r="D25" s="18">
        <v>0</v>
      </c>
      <c r="E25" s="18">
        <f t="shared" si="0"/>
        <v>500</v>
      </c>
    </row>
    <row r="26" spans="1:5" ht="25.5">
      <c r="A26" s="16" t="s">
        <v>30</v>
      </c>
      <c r="B26" s="17" t="s">
        <v>31</v>
      </c>
      <c r="C26" s="18">
        <v>2500</v>
      </c>
      <c r="D26" s="18">
        <v>0</v>
      </c>
      <c r="E26" s="18">
        <f t="shared" si="0"/>
        <v>2500</v>
      </c>
    </row>
    <row r="27" spans="1:5" ht="15">
      <c r="A27" s="19" t="s">
        <v>32</v>
      </c>
      <c r="B27" s="11" t="s">
        <v>33</v>
      </c>
      <c r="C27" s="12">
        <f>SUM(C28:C34)</f>
        <v>52600</v>
      </c>
      <c r="D27" s="12">
        <f>SUM(D28:D34)</f>
        <v>0</v>
      </c>
      <c r="E27" s="12">
        <f>SUM(E28:E34)</f>
        <v>52600</v>
      </c>
    </row>
    <row r="28" spans="1:5" ht="39">
      <c r="A28" s="16" t="s">
        <v>34</v>
      </c>
      <c r="B28" s="20" t="s">
        <v>35</v>
      </c>
      <c r="C28" s="18">
        <v>11000</v>
      </c>
      <c r="D28" s="15">
        <v>0</v>
      </c>
      <c r="E28" s="18">
        <f t="shared" si="0"/>
        <v>11000</v>
      </c>
    </row>
    <row r="29" spans="1:5" ht="26.25">
      <c r="A29" s="16" t="s">
        <v>36</v>
      </c>
      <c r="B29" s="20" t="s">
        <v>37</v>
      </c>
      <c r="C29" s="18">
        <v>500</v>
      </c>
      <c r="D29" s="15">
        <v>0</v>
      </c>
      <c r="E29" s="18">
        <f t="shared" si="0"/>
        <v>500</v>
      </c>
    </row>
    <row r="30" spans="1:5" ht="26.25">
      <c r="A30" s="16" t="s">
        <v>38</v>
      </c>
      <c r="B30" s="20" t="s">
        <v>39</v>
      </c>
      <c r="C30" s="18">
        <v>2900</v>
      </c>
      <c r="D30" s="15">
        <v>0</v>
      </c>
      <c r="E30" s="18">
        <f t="shared" si="0"/>
        <v>2900</v>
      </c>
    </row>
    <row r="31" spans="1:5" ht="15">
      <c r="A31" s="16" t="s">
        <v>40</v>
      </c>
      <c r="B31" s="20" t="s">
        <v>41</v>
      </c>
      <c r="C31" s="18">
        <v>3700</v>
      </c>
      <c r="D31" s="15">
        <v>0</v>
      </c>
      <c r="E31" s="18">
        <f t="shared" si="0"/>
        <v>3700</v>
      </c>
    </row>
    <row r="32" spans="1:5" ht="28.5" customHeight="1">
      <c r="A32" s="16" t="s">
        <v>42</v>
      </c>
      <c r="B32" s="20" t="s">
        <v>43</v>
      </c>
      <c r="C32" s="18">
        <v>10000</v>
      </c>
      <c r="D32" s="18">
        <v>0</v>
      </c>
      <c r="E32" s="18">
        <f t="shared" si="0"/>
        <v>10000</v>
      </c>
    </row>
    <row r="33" spans="1:5" ht="26.25">
      <c r="A33" s="16" t="s">
        <v>44</v>
      </c>
      <c r="B33" s="20" t="s">
        <v>45</v>
      </c>
      <c r="C33" s="18">
        <v>20000</v>
      </c>
      <c r="D33" s="18">
        <v>0</v>
      </c>
      <c r="E33" s="18">
        <f t="shared" si="0"/>
        <v>20000</v>
      </c>
    </row>
    <row r="34" spans="1:5" ht="15">
      <c r="A34" s="16" t="s">
        <v>46</v>
      </c>
      <c r="B34" s="20" t="s">
        <v>47</v>
      </c>
      <c r="C34" s="18">
        <v>4500</v>
      </c>
      <c r="D34" s="18">
        <v>0</v>
      </c>
      <c r="E34" s="18">
        <f t="shared" si="0"/>
        <v>4500</v>
      </c>
    </row>
    <row r="35" spans="1:5" ht="15">
      <c r="A35" s="10" t="s">
        <v>48</v>
      </c>
      <c r="B35" s="11" t="s">
        <v>49</v>
      </c>
      <c r="C35" s="12">
        <f>C36</f>
        <v>142000</v>
      </c>
      <c r="D35" s="12">
        <f>D36</f>
        <v>0</v>
      </c>
      <c r="E35" s="12">
        <f>E36</f>
        <v>142000</v>
      </c>
    </row>
    <row r="36" spans="1:5" ht="15">
      <c r="A36" s="19" t="s">
        <v>50</v>
      </c>
      <c r="B36" s="11" t="s">
        <v>51</v>
      </c>
      <c r="C36" s="12">
        <f>SUM(C37:C38)</f>
        <v>142000</v>
      </c>
      <c r="D36" s="12">
        <f>SUM(D37:D38)</f>
        <v>0</v>
      </c>
      <c r="E36" s="12">
        <f>SUM(E37:E38)</f>
        <v>142000</v>
      </c>
    </row>
    <row r="37" spans="1:5" ht="15">
      <c r="A37" s="16" t="s">
        <v>52</v>
      </c>
      <c r="B37" s="17" t="s">
        <v>53</v>
      </c>
      <c r="C37" s="18">
        <v>57000</v>
      </c>
      <c r="D37" s="18">
        <v>0</v>
      </c>
      <c r="E37" s="18">
        <f>C37+D37</f>
        <v>57000</v>
      </c>
    </row>
    <row r="38" spans="1:5" ht="24.75" customHeight="1">
      <c r="A38" s="16" t="s">
        <v>54</v>
      </c>
      <c r="B38" s="17" t="s">
        <v>55</v>
      </c>
      <c r="C38" s="18">
        <v>85000</v>
      </c>
      <c r="D38" s="18">
        <v>0</v>
      </c>
      <c r="E38" s="18">
        <f>C38+D38</f>
        <v>85000</v>
      </c>
    </row>
    <row r="39" spans="1:5" ht="15">
      <c r="A39" s="21" t="s">
        <v>56</v>
      </c>
      <c r="B39" s="22" t="s">
        <v>57</v>
      </c>
      <c r="C39" s="23">
        <f>C40+C42</f>
        <v>9741</v>
      </c>
      <c r="D39" s="23">
        <f>D40+D42</f>
        <v>0</v>
      </c>
      <c r="E39" s="23">
        <f>E40+E42</f>
        <v>9741</v>
      </c>
    </row>
    <row r="40" spans="1:5" ht="38.25" hidden="1">
      <c r="A40" s="24" t="s">
        <v>58</v>
      </c>
      <c r="B40" s="22" t="s">
        <v>59</v>
      </c>
      <c r="C40" s="23">
        <f>C41</f>
        <v>0</v>
      </c>
      <c r="D40" s="23">
        <f>D41</f>
        <v>0</v>
      </c>
      <c r="E40" s="23">
        <f>E41</f>
        <v>0</v>
      </c>
    </row>
    <row r="41" spans="1:5" ht="59.25" customHeight="1" hidden="1">
      <c r="A41" s="13" t="s">
        <v>493</v>
      </c>
      <c r="B41" s="14" t="s">
        <v>494</v>
      </c>
      <c r="C41" s="15">
        <v>0</v>
      </c>
      <c r="D41" s="15">
        <v>0</v>
      </c>
      <c r="E41" s="15">
        <f>C41+D41</f>
        <v>0</v>
      </c>
    </row>
    <row r="42" spans="1:5" ht="15">
      <c r="A42" s="24" t="s">
        <v>60</v>
      </c>
      <c r="B42" s="22" t="s">
        <v>61</v>
      </c>
      <c r="C42" s="23">
        <f>C45+C43+C44</f>
        <v>9741</v>
      </c>
      <c r="D42" s="23">
        <f>D45+D43+D44</f>
        <v>0</v>
      </c>
      <c r="E42" s="23">
        <f>E45+E43+E44</f>
        <v>9741</v>
      </c>
    </row>
    <row r="43" spans="1:5" ht="15.75" customHeight="1">
      <c r="A43" s="13" t="s">
        <v>62</v>
      </c>
      <c r="B43" s="14" t="s">
        <v>63</v>
      </c>
      <c r="C43" s="15">
        <f>9415</f>
        <v>9415</v>
      </c>
      <c r="D43" s="15">
        <v>0</v>
      </c>
      <c r="E43" s="15">
        <f>C43+D43</f>
        <v>9415</v>
      </c>
    </row>
    <row r="44" spans="1:5" ht="25.5">
      <c r="A44" s="13" t="s">
        <v>64</v>
      </c>
      <c r="B44" s="14" t="s">
        <v>65</v>
      </c>
      <c r="C44" s="15">
        <v>10</v>
      </c>
      <c r="D44" s="15">
        <v>0</v>
      </c>
      <c r="E44" s="15">
        <f>C44+D44</f>
        <v>10</v>
      </c>
    </row>
    <row r="45" spans="1:5" ht="31.5" customHeight="1">
      <c r="A45" s="13" t="s">
        <v>66</v>
      </c>
      <c r="B45" s="14" t="s">
        <v>67</v>
      </c>
      <c r="C45" s="15">
        <v>316</v>
      </c>
      <c r="D45" s="15">
        <v>0</v>
      </c>
      <c r="E45" s="15">
        <f>C45+D45</f>
        <v>316</v>
      </c>
    </row>
    <row r="46" spans="1:5" ht="42.75" customHeight="1">
      <c r="A46" s="10" t="s">
        <v>68</v>
      </c>
      <c r="B46" s="11" t="s">
        <v>69</v>
      </c>
      <c r="C46" s="12">
        <f>SUM(C47:C49)</f>
        <v>400987</v>
      </c>
      <c r="D46" s="12">
        <f>SUM(D47:D49)</f>
        <v>0</v>
      </c>
      <c r="E46" s="12">
        <f>SUM(E47:E49)</f>
        <v>400987</v>
      </c>
    </row>
    <row r="47" spans="1:5" ht="15" customHeight="1">
      <c r="A47" s="16" t="s">
        <v>70</v>
      </c>
      <c r="B47" s="17" t="s">
        <v>71</v>
      </c>
      <c r="C47" s="18">
        <v>110218</v>
      </c>
      <c r="D47" s="18">
        <v>0</v>
      </c>
      <c r="E47" s="18">
        <f>C47+D47</f>
        <v>110218</v>
      </c>
    </row>
    <row r="48" spans="1:5" ht="15">
      <c r="A48" s="16" t="s">
        <v>72</v>
      </c>
      <c r="B48" s="17" t="s">
        <v>73</v>
      </c>
      <c r="C48" s="18">
        <v>24799</v>
      </c>
      <c r="D48" s="18">
        <v>0</v>
      </c>
      <c r="E48" s="18">
        <f>C48+D48</f>
        <v>24799</v>
      </c>
    </row>
    <row r="49" spans="1:5" ht="30" customHeight="1">
      <c r="A49" s="13" t="s">
        <v>74</v>
      </c>
      <c r="B49" s="14" t="s">
        <v>75</v>
      </c>
      <c r="C49" s="15">
        <f>265970</f>
        <v>265970</v>
      </c>
      <c r="D49" s="15">
        <v>0</v>
      </c>
      <c r="E49" s="15">
        <f>C49+D49</f>
        <v>265970</v>
      </c>
    </row>
    <row r="50" spans="1:5" ht="15">
      <c r="A50" s="28"/>
      <c r="B50" s="8" t="s">
        <v>76</v>
      </c>
      <c r="C50" s="29">
        <f>C53+C58+C51</f>
        <v>34685753</v>
      </c>
      <c r="D50" s="29">
        <f>D53+D58+D51</f>
        <v>55450</v>
      </c>
      <c r="E50" s="29">
        <f>E53+E58+E51</f>
        <v>34741203</v>
      </c>
    </row>
    <row r="51" spans="1:5" s="65" customFormat="1" ht="26.25" customHeight="1">
      <c r="A51" s="30" t="s">
        <v>77</v>
      </c>
      <c r="B51" s="31" t="s">
        <v>78</v>
      </c>
      <c r="C51" s="32">
        <f>C52</f>
        <v>928610</v>
      </c>
      <c r="D51" s="23">
        <f>D52</f>
        <v>0</v>
      </c>
      <c r="E51" s="23">
        <f>E52</f>
        <v>928610</v>
      </c>
    </row>
    <row r="52" spans="1:5" s="65" customFormat="1" ht="39" customHeight="1">
      <c r="A52" s="33" t="s">
        <v>79</v>
      </c>
      <c r="B52" s="34" t="s">
        <v>80</v>
      </c>
      <c r="C52" s="35">
        <v>928610</v>
      </c>
      <c r="D52" s="15">
        <v>0</v>
      </c>
      <c r="E52" s="15">
        <f>C52+D52</f>
        <v>928610</v>
      </c>
    </row>
    <row r="53" spans="1:5" ht="15">
      <c r="A53" s="10" t="s">
        <v>81</v>
      </c>
      <c r="B53" s="11" t="s">
        <v>82</v>
      </c>
      <c r="C53" s="12">
        <f>C54</f>
        <v>32908315</v>
      </c>
      <c r="D53" s="12">
        <f>D54</f>
        <v>55450</v>
      </c>
      <c r="E53" s="12">
        <f>E54</f>
        <v>32963765</v>
      </c>
    </row>
    <row r="54" spans="1:5" ht="15">
      <c r="A54" s="19" t="s">
        <v>83</v>
      </c>
      <c r="B54" s="11" t="s">
        <v>84</v>
      </c>
      <c r="C54" s="12">
        <f>SUM(C55:C57)</f>
        <v>32908315</v>
      </c>
      <c r="D54" s="23">
        <f>SUM(D55:D57)</f>
        <v>55450</v>
      </c>
      <c r="E54" s="12">
        <f>SUM(E55:E57)</f>
        <v>32963765</v>
      </c>
    </row>
    <row r="55" spans="1:5" ht="15">
      <c r="A55" s="16" t="s">
        <v>85</v>
      </c>
      <c r="B55" s="17" t="s">
        <v>86</v>
      </c>
      <c r="C55" s="18">
        <v>21881447</v>
      </c>
      <c r="D55" s="15">
        <v>55450</v>
      </c>
      <c r="E55" s="18">
        <f>C55+D55</f>
        <v>21936897</v>
      </c>
    </row>
    <row r="56" spans="1:5" ht="65.25" customHeight="1">
      <c r="A56" s="16" t="s">
        <v>87</v>
      </c>
      <c r="B56" s="17" t="s">
        <v>88</v>
      </c>
      <c r="C56" s="18">
        <v>4388011</v>
      </c>
      <c r="D56" s="15">
        <v>0</v>
      </c>
      <c r="E56" s="18">
        <f>C56+D56</f>
        <v>4388011</v>
      </c>
    </row>
    <row r="57" spans="1:5" ht="27.75" customHeight="1">
      <c r="A57" s="16" t="s">
        <v>89</v>
      </c>
      <c r="B57" s="17" t="s">
        <v>90</v>
      </c>
      <c r="C57" s="18">
        <f>6625591+13266</f>
        <v>6638857</v>
      </c>
      <c r="D57" s="15">
        <v>0</v>
      </c>
      <c r="E57" s="18">
        <f>C57+D57</f>
        <v>6638857</v>
      </c>
    </row>
    <row r="58" spans="1:5" ht="15">
      <c r="A58" s="10" t="s">
        <v>91</v>
      </c>
      <c r="B58" s="11" t="s">
        <v>92</v>
      </c>
      <c r="C58" s="12">
        <f>C59</f>
        <v>848828</v>
      </c>
      <c r="D58" s="23">
        <f>D59</f>
        <v>0</v>
      </c>
      <c r="E58" s="12">
        <f>E59</f>
        <v>848828</v>
      </c>
    </row>
    <row r="59" spans="1:5" ht="25.5">
      <c r="A59" s="16" t="s">
        <v>93</v>
      </c>
      <c r="B59" s="17" t="s">
        <v>94</v>
      </c>
      <c r="C59" s="18">
        <v>848828</v>
      </c>
      <c r="D59" s="15">
        <v>0</v>
      </c>
      <c r="E59" s="18">
        <f>C59+D59</f>
        <v>848828</v>
      </c>
    </row>
    <row r="60" spans="1:5" ht="28.5">
      <c r="A60" s="7"/>
      <c r="B60" s="8" t="s">
        <v>95</v>
      </c>
      <c r="C60" s="9">
        <f>C61</f>
        <v>2141672</v>
      </c>
      <c r="D60" s="9">
        <f>D61</f>
        <v>0</v>
      </c>
      <c r="E60" s="9">
        <f>E61</f>
        <v>2141672</v>
      </c>
    </row>
    <row r="61" spans="1:5" ht="15">
      <c r="A61" s="10" t="s">
        <v>96</v>
      </c>
      <c r="B61" s="11" t="s">
        <v>97</v>
      </c>
      <c r="C61" s="12">
        <f>C62+C67+C85</f>
        <v>2141672</v>
      </c>
      <c r="D61" s="12">
        <f>D62+D67+D85</f>
        <v>0</v>
      </c>
      <c r="E61" s="12">
        <f>E62+E67+E85</f>
        <v>2141672</v>
      </c>
    </row>
    <row r="62" spans="1:5" ht="15" customHeight="1">
      <c r="A62" s="24" t="s">
        <v>98</v>
      </c>
      <c r="B62" s="22" t="s">
        <v>99</v>
      </c>
      <c r="C62" s="23">
        <f>C63+C66+C64+C65</f>
        <v>105001</v>
      </c>
      <c r="D62" s="23">
        <f>D63+D66+D64+D65</f>
        <v>0</v>
      </c>
      <c r="E62" s="23">
        <f>E63+E66+E64+E65</f>
        <v>105001</v>
      </c>
    </row>
    <row r="63" spans="1:5" ht="25.5" hidden="1">
      <c r="A63" s="25" t="s">
        <v>100</v>
      </c>
      <c r="B63" s="26" t="s">
        <v>431</v>
      </c>
      <c r="C63" s="27">
        <v>0</v>
      </c>
      <c r="D63" s="27">
        <v>0</v>
      </c>
      <c r="E63" s="27">
        <f>C63+D63</f>
        <v>0</v>
      </c>
    </row>
    <row r="64" spans="1:5" ht="64.5">
      <c r="A64" s="118" t="s">
        <v>101</v>
      </c>
      <c r="B64" s="360" t="s">
        <v>432</v>
      </c>
      <c r="C64" s="15">
        <v>1660</v>
      </c>
      <c r="D64" s="15">
        <v>0</v>
      </c>
      <c r="E64" s="15">
        <f>C64+D64</f>
        <v>1660</v>
      </c>
    </row>
    <row r="65" spans="1:5" ht="77.25" hidden="1">
      <c r="A65" s="69" t="s">
        <v>457</v>
      </c>
      <c r="B65" s="70" t="s">
        <v>458</v>
      </c>
      <c r="C65" s="27">
        <v>0</v>
      </c>
      <c r="D65" s="27">
        <v>0</v>
      </c>
      <c r="E65" s="27">
        <f>C65+D65</f>
        <v>0</v>
      </c>
    </row>
    <row r="66" spans="1:5" ht="38.25">
      <c r="A66" s="13" t="s">
        <v>102</v>
      </c>
      <c r="B66" s="14" t="s">
        <v>103</v>
      </c>
      <c r="C66" s="15">
        <v>103341</v>
      </c>
      <c r="D66" s="15">
        <v>0</v>
      </c>
      <c r="E66" s="15">
        <f>C66+D66</f>
        <v>103341</v>
      </c>
    </row>
    <row r="67" spans="1:5" ht="25.5">
      <c r="A67" s="19" t="s">
        <v>104</v>
      </c>
      <c r="B67" s="11" t="s">
        <v>105</v>
      </c>
      <c r="C67" s="23">
        <f>C68+C69+C72+C74+C79</f>
        <v>1840359</v>
      </c>
      <c r="D67" s="23">
        <f>D68+D69+D72+D74+D79</f>
        <v>0</v>
      </c>
      <c r="E67" s="23">
        <f>E68+E69+E72+E74+E79</f>
        <v>1840359</v>
      </c>
    </row>
    <row r="68" spans="1:5" ht="42" customHeight="1" hidden="1">
      <c r="A68" s="25" t="s">
        <v>106</v>
      </c>
      <c r="B68" s="26" t="s">
        <v>107</v>
      </c>
      <c r="C68" s="27">
        <v>0</v>
      </c>
      <c r="D68" s="27">
        <v>0</v>
      </c>
      <c r="E68" s="27">
        <f>C68+D68</f>
        <v>0</v>
      </c>
    </row>
    <row r="69" spans="1:5" ht="15">
      <c r="A69" s="19" t="s">
        <v>108</v>
      </c>
      <c r="B69" s="36" t="s">
        <v>109</v>
      </c>
      <c r="C69" s="12">
        <f>SUM(C70:C71)</f>
        <v>313116</v>
      </c>
      <c r="D69" s="12">
        <f>SUM(D70:D71)</f>
        <v>0</v>
      </c>
      <c r="E69" s="12">
        <f>SUM(E70:E71)</f>
        <v>313116</v>
      </c>
    </row>
    <row r="70" spans="1:5" ht="15">
      <c r="A70" s="16" t="s">
        <v>110</v>
      </c>
      <c r="B70" s="17" t="s">
        <v>111</v>
      </c>
      <c r="C70" s="18">
        <v>122750</v>
      </c>
      <c r="D70" s="15">
        <v>0</v>
      </c>
      <c r="E70" s="18">
        <f>C70+D70</f>
        <v>122750</v>
      </c>
    </row>
    <row r="71" spans="1:5" ht="15">
      <c r="A71" s="16" t="s">
        <v>112</v>
      </c>
      <c r="B71" s="17" t="s">
        <v>113</v>
      </c>
      <c r="C71" s="18">
        <v>190366</v>
      </c>
      <c r="D71" s="15">
        <v>0</v>
      </c>
      <c r="E71" s="18">
        <f>C71+D71</f>
        <v>190366</v>
      </c>
    </row>
    <row r="72" spans="1:5" ht="25.5">
      <c r="A72" s="19" t="s">
        <v>114</v>
      </c>
      <c r="B72" s="36" t="s">
        <v>115</v>
      </c>
      <c r="C72" s="12">
        <f>C73</f>
        <v>690</v>
      </c>
      <c r="D72" s="12">
        <f>D73</f>
        <v>0</v>
      </c>
      <c r="E72" s="12">
        <f>E73</f>
        <v>690</v>
      </c>
    </row>
    <row r="73" spans="1:5" ht="25.5">
      <c r="A73" s="16" t="s">
        <v>116</v>
      </c>
      <c r="B73" s="17" t="s">
        <v>117</v>
      </c>
      <c r="C73" s="18">
        <v>690</v>
      </c>
      <c r="D73" s="15">
        <v>0</v>
      </c>
      <c r="E73" s="18">
        <f>C73+D73</f>
        <v>690</v>
      </c>
    </row>
    <row r="74" spans="1:5" ht="15">
      <c r="A74" s="19" t="s">
        <v>118</v>
      </c>
      <c r="B74" s="36" t="s">
        <v>119</v>
      </c>
      <c r="C74" s="12">
        <f>SUM(C75:C78)</f>
        <v>674991</v>
      </c>
      <c r="D74" s="12">
        <f>SUM(D75:D78)</f>
        <v>0</v>
      </c>
      <c r="E74" s="12">
        <f>SUM(E75:E78)</f>
        <v>674991</v>
      </c>
    </row>
    <row r="75" spans="1:5" ht="25.5">
      <c r="A75" s="16" t="s">
        <v>459</v>
      </c>
      <c r="B75" s="17" t="s">
        <v>433</v>
      </c>
      <c r="C75" s="18">
        <v>478501</v>
      </c>
      <c r="D75" s="15">
        <v>0</v>
      </c>
      <c r="E75" s="18">
        <f>C75+D75</f>
        <v>478501</v>
      </c>
    </row>
    <row r="76" spans="1:5" ht="15">
      <c r="A76" s="16" t="s">
        <v>120</v>
      </c>
      <c r="B76" s="17" t="s">
        <v>121</v>
      </c>
      <c r="C76" s="18">
        <v>53586</v>
      </c>
      <c r="D76" s="15">
        <v>0</v>
      </c>
      <c r="E76" s="18">
        <f>C76+D76</f>
        <v>53586</v>
      </c>
    </row>
    <row r="77" spans="1:5" ht="15">
      <c r="A77" s="16" t="s">
        <v>122</v>
      </c>
      <c r="B77" s="17" t="s">
        <v>123</v>
      </c>
      <c r="C77" s="18">
        <v>60008</v>
      </c>
      <c r="D77" s="15">
        <v>0</v>
      </c>
      <c r="E77" s="18">
        <f>C77+D77</f>
        <v>60008</v>
      </c>
    </row>
    <row r="78" spans="1:5" ht="15">
      <c r="A78" s="16" t="s">
        <v>124</v>
      </c>
      <c r="B78" s="17" t="s">
        <v>125</v>
      </c>
      <c r="C78" s="18">
        <v>82896</v>
      </c>
      <c r="D78" s="15">
        <v>0</v>
      </c>
      <c r="E78" s="18">
        <f>C78+D78</f>
        <v>82896</v>
      </c>
    </row>
    <row r="79" spans="1:5" ht="25.5">
      <c r="A79" s="19" t="s">
        <v>126</v>
      </c>
      <c r="B79" s="36" t="s">
        <v>127</v>
      </c>
      <c r="C79" s="12">
        <f>SUM(C80:C84)</f>
        <v>851562</v>
      </c>
      <c r="D79" s="12">
        <f>SUM(D80:D84)</f>
        <v>0</v>
      </c>
      <c r="E79" s="12">
        <f>SUM(E80:E84)</f>
        <v>851562</v>
      </c>
    </row>
    <row r="80" spans="1:5" ht="25.5">
      <c r="A80" s="16" t="s">
        <v>128</v>
      </c>
      <c r="B80" s="17" t="s">
        <v>129</v>
      </c>
      <c r="C80" s="18">
        <v>22450</v>
      </c>
      <c r="D80" s="15">
        <v>0</v>
      </c>
      <c r="E80" s="18">
        <f>C80+D80</f>
        <v>22450</v>
      </c>
    </row>
    <row r="81" spans="1:5" ht="15">
      <c r="A81" s="16" t="s">
        <v>130</v>
      </c>
      <c r="B81" s="17" t="s">
        <v>131</v>
      </c>
      <c r="C81" s="18">
        <v>501714</v>
      </c>
      <c r="D81" s="15">
        <v>0</v>
      </c>
      <c r="E81" s="18">
        <f>C81+D81</f>
        <v>501714</v>
      </c>
    </row>
    <row r="82" spans="1:5" ht="15">
      <c r="A82" s="16" t="s">
        <v>132</v>
      </c>
      <c r="B82" s="17" t="s">
        <v>133</v>
      </c>
      <c r="C82" s="18">
        <v>41862</v>
      </c>
      <c r="D82" s="15">
        <v>0</v>
      </c>
      <c r="E82" s="18">
        <f>C82+D82</f>
        <v>41862</v>
      </c>
    </row>
    <row r="83" spans="1:5" ht="51">
      <c r="A83" s="16" t="s">
        <v>797</v>
      </c>
      <c r="B83" s="17" t="s">
        <v>798</v>
      </c>
      <c r="C83" s="18">
        <f>9299</f>
        <v>9299</v>
      </c>
      <c r="D83" s="15">
        <v>0</v>
      </c>
      <c r="E83" s="18">
        <f>C83+D83</f>
        <v>9299</v>
      </c>
    </row>
    <row r="84" spans="1:5" ht="15">
      <c r="A84" s="16" t="s">
        <v>134</v>
      </c>
      <c r="B84" s="17" t="s">
        <v>135</v>
      </c>
      <c r="C84" s="18">
        <v>276237</v>
      </c>
      <c r="D84" s="15">
        <v>0</v>
      </c>
      <c r="E84" s="18">
        <f>C84+D84</f>
        <v>276237</v>
      </c>
    </row>
    <row r="85" spans="1:5" ht="42" customHeight="1">
      <c r="A85" s="19" t="s">
        <v>136</v>
      </c>
      <c r="B85" s="11" t="s">
        <v>137</v>
      </c>
      <c r="C85" s="12">
        <f>C86+C88+C87</f>
        <v>196312</v>
      </c>
      <c r="D85" s="12">
        <f>D86+D88+D87</f>
        <v>0</v>
      </c>
      <c r="E85" s="12">
        <f>E86+E88+E87</f>
        <v>196312</v>
      </c>
    </row>
    <row r="86" spans="1:5" ht="15">
      <c r="A86" s="13" t="s">
        <v>455</v>
      </c>
      <c r="B86" s="14" t="s">
        <v>456</v>
      </c>
      <c r="C86" s="15">
        <v>22343</v>
      </c>
      <c r="D86" s="15">
        <v>0</v>
      </c>
      <c r="E86" s="15">
        <f>C86+D86</f>
        <v>22343</v>
      </c>
    </row>
    <row r="87" spans="1:5" ht="25.5">
      <c r="A87" s="13" t="s">
        <v>483</v>
      </c>
      <c r="B87" s="14" t="s">
        <v>484</v>
      </c>
      <c r="C87" s="15">
        <f>6557+724</f>
        <v>7281</v>
      </c>
      <c r="D87" s="15">
        <v>0</v>
      </c>
      <c r="E87" s="15">
        <f>C87+D87</f>
        <v>7281</v>
      </c>
    </row>
    <row r="88" spans="1:5" ht="15">
      <c r="A88" s="16" t="s">
        <v>434</v>
      </c>
      <c r="B88" s="17" t="s">
        <v>435</v>
      </c>
      <c r="C88" s="18">
        <v>166688</v>
      </c>
      <c r="D88" s="15">
        <v>0</v>
      </c>
      <c r="E88" s="18">
        <f>C88+D88</f>
        <v>166688</v>
      </c>
    </row>
    <row r="89" spans="1:5" ht="15.75">
      <c r="A89" s="4"/>
      <c r="B89" s="5" t="s">
        <v>138</v>
      </c>
      <c r="C89" s="6">
        <f>C90+C91</f>
        <v>37215936</v>
      </c>
      <c r="D89" s="6">
        <f>D90+D91</f>
        <v>1086665</v>
      </c>
      <c r="E89" s="6">
        <f>E90+E91</f>
        <v>38302601</v>
      </c>
    </row>
    <row r="90" spans="1:5" ht="15">
      <c r="A90" s="37" t="s">
        <v>139</v>
      </c>
      <c r="B90" s="38" t="s">
        <v>140</v>
      </c>
      <c r="C90" s="18">
        <v>16412415</v>
      </c>
      <c r="D90" s="18">
        <v>0</v>
      </c>
      <c r="E90" s="18">
        <f>C90+D90</f>
        <v>16412415</v>
      </c>
    </row>
    <row r="91" spans="1:5" ht="15">
      <c r="A91" s="37" t="s">
        <v>141</v>
      </c>
      <c r="B91" s="38" t="s">
        <v>142</v>
      </c>
      <c r="C91" s="18">
        <v>20803521</v>
      </c>
      <c r="D91" s="15">
        <v>1086665</v>
      </c>
      <c r="E91" s="18">
        <f>C91+D91</f>
        <v>21890186</v>
      </c>
    </row>
    <row r="92" spans="1:5" ht="15.75">
      <c r="A92" s="39"/>
      <c r="B92" s="5" t="s">
        <v>143</v>
      </c>
      <c r="C92" s="6">
        <f>C9+C89</f>
        <v>127053401</v>
      </c>
      <c r="D92" s="6">
        <f>D9+D89</f>
        <v>1142115</v>
      </c>
      <c r="E92" s="6">
        <f>E9+E89</f>
        <v>128195516</v>
      </c>
    </row>
    <row r="93" ht="15">
      <c r="E93" s="64"/>
    </row>
    <row r="94" spans="1:5" ht="15">
      <c r="A94" s="431" t="s">
        <v>995</v>
      </c>
      <c r="B94" s="431"/>
      <c r="C94" s="431"/>
      <c r="D94" s="431"/>
      <c r="E94" s="431"/>
    </row>
    <row r="95" spans="1:5" ht="18.75">
      <c r="A95" s="71"/>
      <c r="B95" s="72"/>
      <c r="C95" s="73"/>
      <c r="D95" s="73"/>
      <c r="E95" s="73"/>
    </row>
  </sheetData>
  <sheetProtection/>
  <mergeCells count="6">
    <mergeCell ref="D1:E1"/>
    <mergeCell ref="B2:E2"/>
    <mergeCell ref="C3:E3"/>
    <mergeCell ref="A5:E5"/>
    <mergeCell ref="A6:E6"/>
    <mergeCell ref="A94:E94"/>
  </mergeCells>
  <printOptions horizontalCentered="1"/>
  <pageMargins left="0.7874015748031497" right="0.7874015748031497" top="0.5905511811023623" bottom="0.5905511811023623" header="0.1968503937007874" footer="0.1968503937007874"/>
  <pageSetup fitToHeight="0" fitToWidth="1" horizontalDpi="600" verticalDpi="600" orientation="portrait" paperSize="9" scale="90" r:id="rId1"/>
  <headerFooter>
    <oddFooter>&amp;R&amp;P</oddFooter>
  </headerFooter>
  <ignoredErrors>
    <ignoredError sqref="E13 E17 E27 E42 E46 E52 E58:E59 E67 E69 E72 E74 E79 E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0">
      <selection activeCell="C8" sqref="C8:C9"/>
    </sheetView>
  </sheetViews>
  <sheetFormatPr defaultColWidth="9.140625" defaultRowHeight="15"/>
  <cols>
    <col min="1" max="1" width="11.140625" style="3" customWidth="1"/>
    <col min="2" max="2" width="44.8515625" style="3" customWidth="1"/>
    <col min="3" max="3" width="16.140625" style="3" customWidth="1"/>
    <col min="4" max="4" width="15.28125" style="3" customWidth="1"/>
    <col min="5" max="5" width="14.00390625" style="3" customWidth="1"/>
    <col min="6" max="6" width="14.421875" style="3" customWidth="1"/>
    <col min="7" max="7" width="13.8515625" style="3" customWidth="1"/>
    <col min="8" max="8" width="15.421875" style="3" customWidth="1"/>
    <col min="9" max="16384" width="9.140625" style="3" customWidth="1"/>
  </cols>
  <sheetData>
    <row r="1" spans="1:10" ht="15">
      <c r="A1" s="2"/>
      <c r="F1" s="2"/>
      <c r="G1" s="431" t="s">
        <v>1014</v>
      </c>
      <c r="H1" s="431"/>
      <c r="J1" s="63"/>
    </row>
    <row r="2" spans="6:10" ht="15">
      <c r="F2" s="431" t="s">
        <v>1008</v>
      </c>
      <c r="G2" s="431"/>
      <c r="H2" s="431"/>
      <c r="I2" s="66"/>
      <c r="J2" s="63"/>
    </row>
    <row r="3" spans="8:10" ht="15">
      <c r="H3" s="261" t="s">
        <v>992</v>
      </c>
      <c r="I3" s="67"/>
      <c r="J3" s="67"/>
    </row>
    <row r="5" spans="1:8" ht="18.75">
      <c r="A5" s="433" t="s">
        <v>1013</v>
      </c>
      <c r="B5" s="433"/>
      <c r="C5" s="433"/>
      <c r="D5" s="433"/>
      <c r="E5" s="433"/>
      <c r="F5" s="433"/>
      <c r="G5" s="433"/>
      <c r="H5" s="433"/>
    </row>
    <row r="6" spans="1:8" ht="15">
      <c r="A6" s="434" t="s">
        <v>144</v>
      </c>
      <c r="B6" s="434"/>
      <c r="C6" s="434"/>
      <c r="D6" s="434"/>
      <c r="E6" s="434"/>
      <c r="F6" s="434"/>
      <c r="G6" s="434"/>
      <c r="H6" s="434"/>
    </row>
    <row r="7" ht="15">
      <c r="H7" s="101"/>
    </row>
    <row r="8" spans="1:8" s="68" customFormat="1" ht="15" customHeight="1">
      <c r="A8" s="435" t="s">
        <v>1</v>
      </c>
      <c r="B8" s="435" t="s">
        <v>145</v>
      </c>
      <c r="C8" s="435" t="s">
        <v>496</v>
      </c>
      <c r="D8" s="436" t="s">
        <v>499</v>
      </c>
      <c r="E8" s="436"/>
      <c r="F8" s="436"/>
      <c r="G8" s="436"/>
      <c r="H8" s="435" t="str">
        <f>'1.pielikums'!E8</f>
        <v>Precizētais plāns uz 24.08.2023., EUR</v>
      </c>
    </row>
    <row r="9" spans="1:8" s="68" customFormat="1" ht="42.75">
      <c r="A9" s="435"/>
      <c r="B9" s="435"/>
      <c r="C9" s="435"/>
      <c r="D9" s="259" t="s">
        <v>146</v>
      </c>
      <c r="E9" s="259" t="s">
        <v>147</v>
      </c>
      <c r="F9" s="259" t="s">
        <v>82</v>
      </c>
      <c r="G9" s="259" t="s">
        <v>148</v>
      </c>
      <c r="H9" s="435"/>
    </row>
    <row r="10" spans="1:8" ht="37.5">
      <c r="A10" s="40"/>
      <c r="B10" s="41" t="s">
        <v>149</v>
      </c>
      <c r="C10" s="42">
        <f>SUM(C11:C19)</f>
        <v>121080704</v>
      </c>
      <c r="D10" s="42">
        <f>SUM(D11:D19)</f>
        <v>1278430</v>
      </c>
      <c r="E10" s="42">
        <f>SUM(E11:E19)</f>
        <v>0</v>
      </c>
      <c r="F10" s="42">
        <f>SUM(F11:F19)</f>
        <v>55450</v>
      </c>
      <c r="G10" s="42">
        <f>SUM(G11:G19)</f>
        <v>0</v>
      </c>
      <c r="H10" s="42">
        <f>C10+D10+E10+F10+G10</f>
        <v>122414584</v>
      </c>
    </row>
    <row r="11" spans="1:8" ht="15">
      <c r="A11" s="43" t="s">
        <v>150</v>
      </c>
      <c r="B11" s="44" t="s">
        <v>151</v>
      </c>
      <c r="C11" s="45">
        <v>11481864</v>
      </c>
      <c r="D11" s="262">
        <f>'3.pielikums'!E12</f>
        <v>0</v>
      </c>
      <c r="E11" s="262">
        <f>'3.pielikums'!G12</f>
        <v>0</v>
      </c>
      <c r="F11" s="262">
        <f>'3.pielikums'!I12</f>
        <v>0</v>
      </c>
      <c r="G11" s="262">
        <f>'3.pielikums'!K12</f>
        <v>0</v>
      </c>
      <c r="H11" s="263">
        <f aca="true" t="shared" si="0" ref="H11:H29">C11+D11+E11+F11+G11</f>
        <v>11481864</v>
      </c>
    </row>
    <row r="12" spans="1:8" ht="15">
      <c r="A12" s="43" t="s">
        <v>152</v>
      </c>
      <c r="B12" s="44" t="s">
        <v>153</v>
      </c>
      <c r="C12" s="45">
        <v>4234340</v>
      </c>
      <c r="D12" s="262">
        <f>'3.pielikums'!E34</f>
        <v>0</v>
      </c>
      <c r="E12" s="262">
        <f>'3.pielikums'!G34</f>
        <v>0</v>
      </c>
      <c r="F12" s="262">
        <f>'3.pielikums'!I34</f>
        <v>0</v>
      </c>
      <c r="G12" s="262">
        <f>'3.pielikums'!K34</f>
        <v>0</v>
      </c>
      <c r="H12" s="263">
        <f t="shared" si="0"/>
        <v>4234340</v>
      </c>
    </row>
    <row r="13" spans="1:8" ht="15">
      <c r="A13" s="43" t="s">
        <v>154</v>
      </c>
      <c r="B13" s="44" t="s">
        <v>155</v>
      </c>
      <c r="C13" s="45">
        <v>20590410</v>
      </c>
      <c r="D13" s="262">
        <f>'3.pielikums'!E41</f>
        <v>1278430</v>
      </c>
      <c r="E13" s="262">
        <f>'3.pielikums'!G41</f>
        <v>0</v>
      </c>
      <c r="F13" s="262">
        <f>'3.pielikums'!I41</f>
        <v>0</v>
      </c>
      <c r="G13" s="262">
        <f>'3.pielikums'!K41</f>
        <v>0</v>
      </c>
      <c r="H13" s="263">
        <f t="shared" si="0"/>
        <v>21868840</v>
      </c>
    </row>
    <row r="14" spans="1:8" ht="15">
      <c r="A14" s="43" t="s">
        <v>156</v>
      </c>
      <c r="B14" s="44" t="s">
        <v>157</v>
      </c>
      <c r="C14" s="45">
        <v>3132116</v>
      </c>
      <c r="D14" s="262">
        <f>'3.pielikums'!E63</f>
        <v>0</v>
      </c>
      <c r="E14" s="262">
        <f>'3.pielikums'!G63</f>
        <v>0</v>
      </c>
      <c r="F14" s="262">
        <f>'3.pielikums'!I63</f>
        <v>0</v>
      </c>
      <c r="G14" s="262">
        <f>'3.pielikums'!K63</f>
        <v>0</v>
      </c>
      <c r="H14" s="263">
        <f t="shared" si="0"/>
        <v>3132116</v>
      </c>
    </row>
    <row r="15" spans="1:8" ht="15">
      <c r="A15" s="43" t="s">
        <v>158</v>
      </c>
      <c r="B15" s="44" t="s">
        <v>159</v>
      </c>
      <c r="C15" s="45">
        <v>5284481</v>
      </c>
      <c r="D15" s="262">
        <f>'3.pielikums'!E75</f>
        <v>0</v>
      </c>
      <c r="E15" s="262">
        <f>'3.pielikums'!G75</f>
        <v>0</v>
      </c>
      <c r="F15" s="262">
        <f>'3.pielikums'!I75</f>
        <v>0</v>
      </c>
      <c r="G15" s="262">
        <f>'3.pielikums'!K75</f>
        <v>0</v>
      </c>
      <c r="H15" s="263">
        <f t="shared" si="0"/>
        <v>5284481</v>
      </c>
    </row>
    <row r="16" spans="1:8" ht="15">
      <c r="A16" s="43" t="s">
        <v>160</v>
      </c>
      <c r="B16" s="44" t="s">
        <v>161</v>
      </c>
      <c r="C16" s="45">
        <v>281300</v>
      </c>
      <c r="D16" s="262">
        <f>'3.pielikums'!E91</f>
        <v>0</v>
      </c>
      <c r="E16" s="262">
        <f>'3.pielikums'!G91</f>
        <v>0</v>
      </c>
      <c r="F16" s="262">
        <f>'3.pielikums'!I91</f>
        <v>0</v>
      </c>
      <c r="G16" s="262">
        <f>'3.pielikums'!K91</f>
        <v>0</v>
      </c>
      <c r="H16" s="263">
        <f t="shared" si="0"/>
        <v>281300</v>
      </c>
    </row>
    <row r="17" spans="1:8" ht="15">
      <c r="A17" s="43" t="s">
        <v>162</v>
      </c>
      <c r="B17" s="44" t="s">
        <v>163</v>
      </c>
      <c r="C17" s="45">
        <v>7679155</v>
      </c>
      <c r="D17" s="262">
        <f>'3.pielikums'!E98</f>
        <v>0</v>
      </c>
      <c r="E17" s="262">
        <f>'3.pielikums'!G98</f>
        <v>0</v>
      </c>
      <c r="F17" s="262">
        <f>'3.pielikums'!I98</f>
        <v>55450</v>
      </c>
      <c r="G17" s="262">
        <f>'3.pielikums'!K98</f>
        <v>0</v>
      </c>
      <c r="H17" s="263">
        <f t="shared" si="0"/>
        <v>7734605</v>
      </c>
    </row>
    <row r="18" spans="1:8" ht="15">
      <c r="A18" s="43" t="s">
        <v>22</v>
      </c>
      <c r="B18" s="44" t="s">
        <v>164</v>
      </c>
      <c r="C18" s="45">
        <v>52783736</v>
      </c>
      <c r="D18" s="262">
        <f>'3.pielikums'!E127</f>
        <v>0</v>
      </c>
      <c r="E18" s="262">
        <f>'3.pielikums'!G127</f>
        <v>0</v>
      </c>
      <c r="F18" s="262">
        <f>'3.pielikums'!I127</f>
        <v>0</v>
      </c>
      <c r="G18" s="262">
        <f>'3.pielikums'!K127</f>
        <v>0</v>
      </c>
      <c r="H18" s="263">
        <f t="shared" si="0"/>
        <v>52783736</v>
      </c>
    </row>
    <row r="19" spans="1:8" ht="15">
      <c r="A19" s="43" t="s">
        <v>48</v>
      </c>
      <c r="B19" s="44" t="s">
        <v>165</v>
      </c>
      <c r="C19" s="45">
        <v>15613302</v>
      </c>
      <c r="D19" s="262">
        <f>'3.pielikums'!E175</f>
        <v>0</v>
      </c>
      <c r="E19" s="262">
        <f>'3.pielikums'!G175</f>
        <v>0</v>
      </c>
      <c r="F19" s="262">
        <f>'3.pielikums'!I175</f>
        <v>0</v>
      </c>
      <c r="G19" s="262">
        <f>'3.pielikums'!K175</f>
        <v>0</v>
      </c>
      <c r="H19" s="263">
        <f t="shared" si="0"/>
        <v>15613302</v>
      </c>
    </row>
    <row r="20" spans="1:8" ht="18.75">
      <c r="A20" s="46"/>
      <c r="B20" s="47" t="s">
        <v>166</v>
      </c>
      <c r="C20" s="42">
        <f>C21+C22+C28</f>
        <v>5972697</v>
      </c>
      <c r="D20" s="42">
        <f>D21+D22+D28</f>
        <v>-191765</v>
      </c>
      <c r="E20" s="42">
        <f>E21+E22+E28</f>
        <v>0</v>
      </c>
      <c r="F20" s="42">
        <f>F21+F22+F28</f>
        <v>0</v>
      </c>
      <c r="G20" s="42">
        <f>G21+G22+G28</f>
        <v>0</v>
      </c>
      <c r="H20" s="42">
        <f t="shared" si="0"/>
        <v>5780932</v>
      </c>
    </row>
    <row r="21" spans="1:8" ht="15">
      <c r="A21" s="43" t="s">
        <v>167</v>
      </c>
      <c r="B21" s="43" t="s">
        <v>168</v>
      </c>
      <c r="C21" s="45">
        <v>4893582</v>
      </c>
      <c r="D21" s="262">
        <f>'3.pielikums'!E211</f>
        <v>0</v>
      </c>
      <c r="E21" s="262">
        <f>'3.pielikums'!G211</f>
        <v>0</v>
      </c>
      <c r="F21" s="262">
        <f>'3.pielikums'!I211</f>
        <v>0</v>
      </c>
      <c r="G21" s="262">
        <f>'3.pielikums'!K211</f>
        <v>0</v>
      </c>
      <c r="H21" s="263">
        <f t="shared" si="0"/>
        <v>4893582</v>
      </c>
    </row>
    <row r="22" spans="1:8" ht="15">
      <c r="A22" s="43" t="s">
        <v>169</v>
      </c>
      <c r="B22" s="48" t="s">
        <v>170</v>
      </c>
      <c r="C22" s="45">
        <f>SUM(C23:C27)</f>
        <v>844213</v>
      </c>
      <c r="D22" s="262">
        <f>'3.pielikums'!E212</f>
        <v>0</v>
      </c>
      <c r="E22" s="262">
        <f>'3.pielikums'!G212</f>
        <v>0</v>
      </c>
      <c r="F22" s="262">
        <f>'3.pielikums'!I212</f>
        <v>0</v>
      </c>
      <c r="G22" s="262">
        <f>'3.pielikums'!K212</f>
        <v>0</v>
      </c>
      <c r="H22" s="263">
        <f t="shared" si="0"/>
        <v>844213</v>
      </c>
    </row>
    <row r="23" spans="1:8" ht="15" hidden="1">
      <c r="A23" s="74"/>
      <c r="B23" s="103" t="s">
        <v>171</v>
      </c>
      <c r="C23" s="75">
        <v>0</v>
      </c>
      <c r="D23" s="262">
        <f>'3.pielikums'!E213</f>
        <v>0</v>
      </c>
      <c r="E23" s="262">
        <f>'3.pielikums'!G213</f>
        <v>0</v>
      </c>
      <c r="F23" s="262">
        <f>'3.pielikums'!I213</f>
        <v>0</v>
      </c>
      <c r="G23" s="262">
        <f>'3.pielikums'!K213</f>
        <v>0</v>
      </c>
      <c r="H23" s="264">
        <f t="shared" si="0"/>
        <v>0</v>
      </c>
    </row>
    <row r="24" spans="1:8" s="65" customFormat="1" ht="60">
      <c r="A24" s="379"/>
      <c r="B24" s="380" t="s">
        <v>966</v>
      </c>
      <c r="C24" s="265">
        <v>465125</v>
      </c>
      <c r="D24" s="262">
        <f>'3.pielikums'!E214</f>
        <v>0</v>
      </c>
      <c r="E24" s="262">
        <f>'3.pielikums'!G214</f>
        <v>0</v>
      </c>
      <c r="F24" s="262">
        <f>'3.pielikums'!I214</f>
        <v>0</v>
      </c>
      <c r="G24" s="262">
        <f>'3.pielikums'!K214</f>
        <v>0</v>
      </c>
      <c r="H24" s="265">
        <f t="shared" si="0"/>
        <v>465125</v>
      </c>
    </row>
    <row r="25" spans="1:8" ht="15">
      <c r="A25" s="43"/>
      <c r="B25" s="102" t="s">
        <v>172</v>
      </c>
      <c r="C25" s="49">
        <v>379088</v>
      </c>
      <c r="D25" s="262">
        <f>'3.pielikums'!E215</f>
        <v>0</v>
      </c>
      <c r="E25" s="262">
        <f>'3.pielikums'!G215</f>
        <v>0</v>
      </c>
      <c r="F25" s="262">
        <f>'3.pielikums'!I215</f>
        <v>0</v>
      </c>
      <c r="G25" s="262">
        <f>'3.pielikums'!K215</f>
        <v>0</v>
      </c>
      <c r="H25" s="265">
        <f t="shared" si="0"/>
        <v>379088</v>
      </c>
    </row>
    <row r="26" spans="1:8" ht="15" hidden="1">
      <c r="A26" s="74"/>
      <c r="B26" s="103" t="s">
        <v>173</v>
      </c>
      <c r="C26" s="75">
        <v>0</v>
      </c>
      <c r="D26" s="262">
        <f>'3.pielikums'!E216</f>
        <v>0</v>
      </c>
      <c r="E26" s="262">
        <f>'3.pielikums'!G216</f>
        <v>0</v>
      </c>
      <c r="F26" s="262">
        <f>'3.pielikums'!I216</f>
        <v>0</v>
      </c>
      <c r="G26" s="262">
        <f>'3.pielikums'!K216</f>
        <v>0</v>
      </c>
      <c r="H26" s="264">
        <f t="shared" si="0"/>
        <v>0</v>
      </c>
    </row>
    <row r="27" spans="1:8" ht="15" hidden="1">
      <c r="A27" s="74"/>
      <c r="B27" s="103" t="s">
        <v>174</v>
      </c>
      <c r="C27" s="75">
        <v>0</v>
      </c>
      <c r="D27" s="262">
        <f>'3.pielikums'!E217</f>
        <v>0</v>
      </c>
      <c r="E27" s="262">
        <f>'3.pielikums'!G217</f>
        <v>0</v>
      </c>
      <c r="F27" s="262">
        <f>'3.pielikums'!I217</f>
        <v>0</v>
      </c>
      <c r="G27" s="262">
        <f>'3.pielikums'!K217</f>
        <v>0</v>
      </c>
      <c r="H27" s="264">
        <f t="shared" si="0"/>
        <v>0</v>
      </c>
    </row>
    <row r="28" spans="1:8" ht="15">
      <c r="A28" s="43" t="s">
        <v>139</v>
      </c>
      <c r="B28" s="50" t="s">
        <v>175</v>
      </c>
      <c r="C28" s="45">
        <v>234902</v>
      </c>
      <c r="D28" s="262">
        <f>'3.pielikums'!E218</f>
        <v>-191765</v>
      </c>
      <c r="E28" s="262">
        <f>'3.pielikums'!G218</f>
        <v>0</v>
      </c>
      <c r="F28" s="262">
        <f>'3.pielikums'!I218</f>
        <v>0</v>
      </c>
      <c r="G28" s="262">
        <f>'3.pielikums'!K218</f>
        <v>0</v>
      </c>
      <c r="H28" s="263">
        <f t="shared" si="0"/>
        <v>43137</v>
      </c>
    </row>
    <row r="29" spans="1:8" ht="18.75">
      <c r="A29" s="51"/>
      <c r="B29" s="47" t="s">
        <v>176</v>
      </c>
      <c r="C29" s="42">
        <f>C10+C20</f>
        <v>127053401</v>
      </c>
      <c r="D29" s="42">
        <f>D10+D20</f>
        <v>1086665</v>
      </c>
      <c r="E29" s="42">
        <f>E10+E20</f>
        <v>0</v>
      </c>
      <c r="F29" s="42">
        <f>F10+F20</f>
        <v>55450</v>
      </c>
      <c r="G29" s="42">
        <f>G10+G20</f>
        <v>0</v>
      </c>
      <c r="H29" s="42">
        <f t="shared" si="0"/>
        <v>128195516</v>
      </c>
    </row>
    <row r="31" spans="1:8" ht="18.75">
      <c r="A31" s="432" t="s">
        <v>996</v>
      </c>
      <c r="B31" s="432"/>
      <c r="C31" s="432"/>
      <c r="D31" s="432"/>
      <c r="E31" s="432"/>
      <c r="F31" s="432"/>
      <c r="G31" s="432"/>
      <c r="H31" s="432"/>
    </row>
    <row r="32" ht="15">
      <c r="C32" s="64"/>
    </row>
    <row r="33" ht="15">
      <c r="C33" s="64"/>
    </row>
  </sheetData>
  <sheetProtection/>
  <mergeCells count="10">
    <mergeCell ref="A31:H31"/>
    <mergeCell ref="G1:H1"/>
    <mergeCell ref="F2:H2"/>
    <mergeCell ref="A5:H5"/>
    <mergeCell ref="A6:H6"/>
    <mergeCell ref="A8:A9"/>
    <mergeCell ref="B8:B9"/>
    <mergeCell ref="C8:C9"/>
    <mergeCell ref="D8:G8"/>
    <mergeCell ref="H8:H9"/>
  </mergeCells>
  <printOptions horizontalCentered="1"/>
  <pageMargins left="0.7874015748031497" right="0.7874015748031497" top="1.1811023622047245" bottom="0.5905511811023623" header="0.1968503937007874" footer="0.1968503937007874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1"/>
  <sheetViews>
    <sheetView zoomScalePageLayoutView="0" workbookViewId="0" topLeftCell="A1">
      <pane ySplit="9" topLeftCell="A212" activePane="bottomLeft" state="frozen"/>
      <selection pane="topLeft" activeCell="A1" sqref="A1"/>
      <selection pane="bottomLeft" activeCell="A5" sqref="A5:L5"/>
    </sheetView>
  </sheetViews>
  <sheetFormatPr defaultColWidth="9.140625" defaultRowHeight="15"/>
  <cols>
    <col min="1" max="1" width="11.57421875" style="3" customWidth="1"/>
    <col min="2" max="2" width="33.7109375" style="83" customWidth="1"/>
    <col min="3" max="3" width="12.7109375" style="68" customWidth="1"/>
    <col min="4" max="4" width="11.8515625" style="3" customWidth="1"/>
    <col min="5" max="5" width="11.57421875" style="84" customWidth="1"/>
    <col min="6" max="6" width="10.140625" style="3" customWidth="1"/>
    <col min="7" max="7" width="10.8515625" style="84" customWidth="1"/>
    <col min="8" max="8" width="11.8515625" style="3" customWidth="1"/>
    <col min="9" max="9" width="11.421875" style="84" customWidth="1"/>
    <col min="10" max="10" width="10.8515625" style="3" customWidth="1"/>
    <col min="11" max="11" width="11.00390625" style="84" customWidth="1"/>
    <col min="12" max="12" width="12.8515625" style="68" customWidth="1"/>
    <col min="13" max="16384" width="9.140625" style="3" customWidth="1"/>
  </cols>
  <sheetData>
    <row r="1" spans="1:12" ht="15">
      <c r="A1" s="2"/>
      <c r="K1" s="1" t="s">
        <v>1012</v>
      </c>
      <c r="L1" s="105"/>
    </row>
    <row r="2" spans="8:12" ht="15">
      <c r="H2" s="431" t="s">
        <v>1008</v>
      </c>
      <c r="I2" s="431"/>
      <c r="J2" s="431"/>
      <c r="K2" s="431"/>
      <c r="L2" s="105"/>
    </row>
    <row r="3" ht="15">
      <c r="K3" s="261" t="s">
        <v>992</v>
      </c>
    </row>
    <row r="5" spans="1:12" ht="18.75">
      <c r="A5" s="433" t="s">
        <v>1013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</row>
    <row r="6" spans="1:12" ht="15">
      <c r="A6" s="434" t="s">
        <v>177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</row>
    <row r="7" ht="15">
      <c r="L7" s="106"/>
    </row>
    <row r="8" spans="1:12" s="83" customFormat="1" ht="15" customHeight="1">
      <c r="A8" s="443" t="s">
        <v>1</v>
      </c>
      <c r="B8" s="443" t="s">
        <v>145</v>
      </c>
      <c r="C8" s="435" t="str">
        <f>'2.pielikums'!C8:C9</f>
        <v>Plāns 2023.gadam, EUR</v>
      </c>
      <c r="D8" s="440" t="s">
        <v>500</v>
      </c>
      <c r="E8" s="441"/>
      <c r="F8" s="441"/>
      <c r="G8" s="441"/>
      <c r="H8" s="441"/>
      <c r="I8" s="441"/>
      <c r="J8" s="441"/>
      <c r="K8" s="442"/>
      <c r="L8" s="438" t="str">
        <f>'2.pielikums'!H8:H9</f>
        <v>Precizētais plāns uz 24.08.2023., EUR</v>
      </c>
    </row>
    <row r="9" spans="1:12" s="83" customFormat="1" ht="48">
      <c r="A9" s="443"/>
      <c r="B9" s="443"/>
      <c r="C9" s="435"/>
      <c r="D9" s="52" t="s">
        <v>146</v>
      </c>
      <c r="E9" s="53" t="s">
        <v>178</v>
      </c>
      <c r="F9" s="52" t="s">
        <v>147</v>
      </c>
      <c r="G9" s="53" t="s">
        <v>179</v>
      </c>
      <c r="H9" s="52" t="s">
        <v>82</v>
      </c>
      <c r="I9" s="53" t="s">
        <v>180</v>
      </c>
      <c r="J9" s="52" t="s">
        <v>148</v>
      </c>
      <c r="K9" s="53" t="s">
        <v>181</v>
      </c>
      <c r="L9" s="439"/>
    </row>
    <row r="10" spans="1:12" ht="15">
      <c r="A10" s="76">
        <v>1</v>
      </c>
      <c r="B10" s="77">
        <v>2</v>
      </c>
      <c r="C10" s="107">
        <v>3</v>
      </c>
      <c r="D10" s="80">
        <v>4</v>
      </c>
      <c r="E10" s="80">
        <v>5</v>
      </c>
      <c r="F10" s="80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107">
        <v>12</v>
      </c>
    </row>
    <row r="11" spans="1:12" ht="28.5">
      <c r="A11" s="54"/>
      <c r="B11" s="8" t="s">
        <v>149</v>
      </c>
      <c r="C11" s="9">
        <f aca="true" t="shared" si="0" ref="C11:C41">D11+F11+H11+J11</f>
        <v>121080704</v>
      </c>
      <c r="D11" s="9">
        <f>D12+D34+D41+D63+D75+D91+D98+D127+D175</f>
        <v>88317225</v>
      </c>
      <c r="E11" s="82">
        <f aca="true" t="shared" si="1" ref="E11:K11">E12+E34+E41+E63+E75+E91+E98+E127+E175</f>
        <v>1278430</v>
      </c>
      <c r="F11" s="9">
        <f>F12+F34+F41+F63+F75+F91+F98+F127+F175</f>
        <v>2800257</v>
      </c>
      <c r="G11" s="82">
        <f t="shared" si="1"/>
        <v>0</v>
      </c>
      <c r="H11" s="9">
        <f t="shared" si="1"/>
        <v>29114394</v>
      </c>
      <c r="I11" s="82">
        <f t="shared" si="1"/>
        <v>55450</v>
      </c>
      <c r="J11" s="9">
        <f t="shared" si="1"/>
        <v>848828</v>
      </c>
      <c r="K11" s="82">
        <f t="shared" si="1"/>
        <v>0</v>
      </c>
      <c r="L11" s="9">
        <f aca="true" t="shared" si="2" ref="L11:L41">SUM(D11:K11)</f>
        <v>122414584</v>
      </c>
    </row>
    <row r="12" spans="1:12" ht="15">
      <c r="A12" s="55" t="s">
        <v>150</v>
      </c>
      <c r="B12" s="56" t="s">
        <v>151</v>
      </c>
      <c r="C12" s="9">
        <f t="shared" si="0"/>
        <v>11481864</v>
      </c>
      <c r="D12" s="57">
        <f aca="true" t="shared" si="3" ref="D12:K12">D13+D18+D22+D25+D27+D29+D32</f>
        <v>10002372</v>
      </c>
      <c r="E12" s="58">
        <f t="shared" si="3"/>
        <v>0</v>
      </c>
      <c r="F12" s="57">
        <f t="shared" si="3"/>
        <v>178361</v>
      </c>
      <c r="G12" s="58">
        <f t="shared" si="3"/>
        <v>0</v>
      </c>
      <c r="H12" s="57">
        <f t="shared" si="3"/>
        <v>517357</v>
      </c>
      <c r="I12" s="58">
        <f t="shared" si="3"/>
        <v>0</v>
      </c>
      <c r="J12" s="57">
        <f t="shared" si="3"/>
        <v>783774</v>
      </c>
      <c r="K12" s="58">
        <f t="shared" si="3"/>
        <v>0</v>
      </c>
      <c r="L12" s="9">
        <f t="shared" si="2"/>
        <v>11481864</v>
      </c>
    </row>
    <row r="13" spans="1:12" ht="25.5">
      <c r="A13" s="10" t="s">
        <v>182</v>
      </c>
      <c r="B13" s="11" t="s">
        <v>183</v>
      </c>
      <c r="C13" s="108">
        <f t="shared" si="0"/>
        <v>5800019</v>
      </c>
      <c r="D13" s="12">
        <f aca="true" t="shared" si="4" ref="D13:K13">SUM(D14:D17)</f>
        <v>5001424</v>
      </c>
      <c r="E13" s="59">
        <f t="shared" si="4"/>
        <v>0</v>
      </c>
      <c r="F13" s="12">
        <f t="shared" si="4"/>
        <v>178361</v>
      </c>
      <c r="G13" s="59">
        <f t="shared" si="4"/>
        <v>0</v>
      </c>
      <c r="H13" s="12">
        <f t="shared" si="4"/>
        <v>517357</v>
      </c>
      <c r="I13" s="59">
        <f t="shared" si="4"/>
        <v>0</v>
      </c>
      <c r="J13" s="12">
        <f t="shared" si="4"/>
        <v>102877</v>
      </c>
      <c r="K13" s="59">
        <f t="shared" si="4"/>
        <v>0</v>
      </c>
      <c r="L13" s="108">
        <f t="shared" si="2"/>
        <v>5800019</v>
      </c>
    </row>
    <row r="14" spans="1:12" ht="15">
      <c r="A14" s="13" t="s">
        <v>7</v>
      </c>
      <c r="B14" s="14" t="s">
        <v>184</v>
      </c>
      <c r="C14" s="109">
        <f t="shared" si="0"/>
        <v>4908879</v>
      </c>
      <c r="D14" s="15">
        <f>4450174+18469+21051</f>
        <v>4489694</v>
      </c>
      <c r="E14" s="60">
        <v>0</v>
      </c>
      <c r="F14" s="15">
        <v>161061</v>
      </c>
      <c r="G14" s="60">
        <v>0</v>
      </c>
      <c r="H14" s="15">
        <v>240000</v>
      </c>
      <c r="I14" s="60">
        <v>0</v>
      </c>
      <c r="J14" s="15">
        <v>18124</v>
      </c>
      <c r="K14" s="60">
        <v>0</v>
      </c>
      <c r="L14" s="109">
        <f t="shared" si="2"/>
        <v>4908879</v>
      </c>
    </row>
    <row r="15" spans="1:12" ht="38.25">
      <c r="A15" s="16" t="s">
        <v>185</v>
      </c>
      <c r="B15" s="17" t="s">
        <v>186</v>
      </c>
      <c r="C15" s="109">
        <f t="shared" si="0"/>
        <v>8482</v>
      </c>
      <c r="D15" s="18">
        <v>0</v>
      </c>
      <c r="E15" s="60">
        <v>0</v>
      </c>
      <c r="F15" s="15">
        <v>0</v>
      </c>
      <c r="G15" s="60">
        <v>0</v>
      </c>
      <c r="H15" s="15">
        <v>8482</v>
      </c>
      <c r="I15" s="60">
        <v>0</v>
      </c>
      <c r="J15" s="15">
        <v>0</v>
      </c>
      <c r="K15" s="60">
        <v>0</v>
      </c>
      <c r="L15" s="109">
        <f t="shared" si="2"/>
        <v>8482</v>
      </c>
    </row>
    <row r="16" spans="1:12" ht="31.5" customHeight="1">
      <c r="A16" s="16" t="s">
        <v>453</v>
      </c>
      <c r="B16" s="17" t="s">
        <v>454</v>
      </c>
      <c r="C16" s="109">
        <f t="shared" si="0"/>
        <v>630367</v>
      </c>
      <c r="D16" s="18">
        <f>211492+150000</f>
        <v>361492</v>
      </c>
      <c r="E16" s="60">
        <v>0</v>
      </c>
      <c r="F16" s="15">
        <v>0</v>
      </c>
      <c r="G16" s="60">
        <v>0</v>
      </c>
      <c r="H16" s="15">
        <v>268875</v>
      </c>
      <c r="I16" s="60">
        <v>0</v>
      </c>
      <c r="J16" s="15">
        <v>0</v>
      </c>
      <c r="K16" s="60">
        <v>0</v>
      </c>
      <c r="L16" s="109">
        <f t="shared" si="2"/>
        <v>630367</v>
      </c>
    </row>
    <row r="17" spans="1:12" ht="63.75">
      <c r="A17" s="16" t="s">
        <v>503</v>
      </c>
      <c r="B17" s="14" t="s">
        <v>504</v>
      </c>
      <c r="C17" s="109">
        <f t="shared" si="0"/>
        <v>252291</v>
      </c>
      <c r="D17" s="15">
        <v>150238</v>
      </c>
      <c r="E17" s="60">
        <v>0</v>
      </c>
      <c r="F17" s="15">
        <v>17300</v>
      </c>
      <c r="G17" s="60">
        <v>0</v>
      </c>
      <c r="H17" s="15">
        <v>0</v>
      </c>
      <c r="I17" s="60">
        <v>0</v>
      </c>
      <c r="J17" s="15">
        <v>84753</v>
      </c>
      <c r="K17" s="60">
        <v>0</v>
      </c>
      <c r="L17" s="109">
        <f t="shared" si="2"/>
        <v>252291</v>
      </c>
    </row>
    <row r="18" spans="1:12" ht="15">
      <c r="A18" s="10" t="s">
        <v>187</v>
      </c>
      <c r="B18" s="11" t="s">
        <v>188</v>
      </c>
      <c r="C18" s="108">
        <f t="shared" si="0"/>
        <v>356179</v>
      </c>
      <c r="D18" s="12">
        <f aca="true" t="shared" si="5" ref="D18:K18">SUM(D19:D21)</f>
        <v>356179</v>
      </c>
      <c r="E18" s="61">
        <f t="shared" si="5"/>
        <v>0</v>
      </c>
      <c r="F18" s="23">
        <f t="shared" si="5"/>
        <v>0</v>
      </c>
      <c r="G18" s="61">
        <f t="shared" si="5"/>
        <v>0</v>
      </c>
      <c r="H18" s="23">
        <f t="shared" si="5"/>
        <v>0</v>
      </c>
      <c r="I18" s="61">
        <f t="shared" si="5"/>
        <v>0</v>
      </c>
      <c r="J18" s="23">
        <f t="shared" si="5"/>
        <v>0</v>
      </c>
      <c r="K18" s="59">
        <f t="shared" si="5"/>
        <v>0</v>
      </c>
      <c r="L18" s="108">
        <f t="shared" si="2"/>
        <v>356179</v>
      </c>
    </row>
    <row r="19" spans="1:12" ht="38.25">
      <c r="A19" s="16" t="s">
        <v>189</v>
      </c>
      <c r="B19" s="17" t="s">
        <v>505</v>
      </c>
      <c r="C19" s="109">
        <f t="shared" si="0"/>
        <v>51219</v>
      </c>
      <c r="D19" s="15">
        <v>51219</v>
      </c>
      <c r="E19" s="60">
        <v>0</v>
      </c>
      <c r="F19" s="15">
        <v>0</v>
      </c>
      <c r="G19" s="60">
        <v>0</v>
      </c>
      <c r="H19" s="15">
        <v>0</v>
      </c>
      <c r="I19" s="60">
        <v>0</v>
      </c>
      <c r="J19" s="15">
        <v>0</v>
      </c>
      <c r="K19" s="60">
        <v>0</v>
      </c>
      <c r="L19" s="109">
        <f t="shared" si="2"/>
        <v>51219</v>
      </c>
    </row>
    <row r="20" spans="1:12" ht="38.25">
      <c r="A20" s="16" t="s">
        <v>190</v>
      </c>
      <c r="B20" s="17" t="s">
        <v>506</v>
      </c>
      <c r="C20" s="109">
        <f t="shared" si="0"/>
        <v>304960</v>
      </c>
      <c r="D20" s="15">
        <v>304960</v>
      </c>
      <c r="E20" s="60">
        <v>0</v>
      </c>
      <c r="F20" s="15">
        <v>0</v>
      </c>
      <c r="G20" s="60">
        <v>0</v>
      </c>
      <c r="H20" s="15">
        <v>0</v>
      </c>
      <c r="I20" s="60">
        <v>0</v>
      </c>
      <c r="J20" s="15">
        <v>0</v>
      </c>
      <c r="K20" s="60">
        <v>0</v>
      </c>
      <c r="L20" s="109">
        <f t="shared" si="2"/>
        <v>304960</v>
      </c>
    </row>
    <row r="21" spans="1:12" ht="15" hidden="1">
      <c r="A21" s="85" t="s">
        <v>501</v>
      </c>
      <c r="B21" s="86" t="s">
        <v>502</v>
      </c>
      <c r="C21" s="110">
        <f t="shared" si="0"/>
        <v>0</v>
      </c>
      <c r="D21" s="88"/>
      <c r="E21" s="89"/>
      <c r="F21" s="88"/>
      <c r="G21" s="89"/>
      <c r="H21" s="88"/>
      <c r="I21" s="89"/>
      <c r="J21" s="88"/>
      <c r="K21" s="89"/>
      <c r="L21" s="110">
        <f t="shared" si="2"/>
        <v>0</v>
      </c>
    </row>
    <row r="22" spans="1:12" ht="26.25">
      <c r="A22" s="10" t="s">
        <v>191</v>
      </c>
      <c r="B22" s="62" t="s">
        <v>192</v>
      </c>
      <c r="C22" s="108">
        <f t="shared" si="0"/>
        <v>1418645</v>
      </c>
      <c r="D22" s="23">
        <f aca="true" t="shared" si="6" ref="D22:K22">SUM(D23:D24)</f>
        <v>1418645</v>
      </c>
      <c r="E22" s="61">
        <f t="shared" si="6"/>
        <v>0</v>
      </c>
      <c r="F22" s="23">
        <f t="shared" si="6"/>
        <v>0</v>
      </c>
      <c r="G22" s="61">
        <f t="shared" si="6"/>
        <v>0</v>
      </c>
      <c r="H22" s="23">
        <f t="shared" si="6"/>
        <v>0</v>
      </c>
      <c r="I22" s="61">
        <f t="shared" si="6"/>
        <v>0</v>
      </c>
      <c r="J22" s="23">
        <f t="shared" si="6"/>
        <v>0</v>
      </c>
      <c r="K22" s="61">
        <f t="shared" si="6"/>
        <v>0</v>
      </c>
      <c r="L22" s="108">
        <f t="shared" si="2"/>
        <v>1418645</v>
      </c>
    </row>
    <row r="23" spans="1:12" ht="25.5">
      <c r="A23" s="16" t="s">
        <v>193</v>
      </c>
      <c r="B23" s="17" t="s">
        <v>194</v>
      </c>
      <c r="C23" s="109">
        <f t="shared" si="0"/>
        <v>698661</v>
      </c>
      <c r="D23" s="15">
        <v>698661</v>
      </c>
      <c r="E23" s="60">
        <v>0</v>
      </c>
      <c r="F23" s="15">
        <v>0</v>
      </c>
      <c r="G23" s="60">
        <v>0</v>
      </c>
      <c r="H23" s="15">
        <v>0</v>
      </c>
      <c r="I23" s="60">
        <v>0</v>
      </c>
      <c r="J23" s="15">
        <v>0</v>
      </c>
      <c r="K23" s="60">
        <v>0</v>
      </c>
      <c r="L23" s="109">
        <f t="shared" si="2"/>
        <v>698661</v>
      </c>
    </row>
    <row r="24" spans="1:12" ht="25.5">
      <c r="A24" s="16" t="s">
        <v>507</v>
      </c>
      <c r="B24" s="17" t="s">
        <v>508</v>
      </c>
      <c r="C24" s="109">
        <f t="shared" si="0"/>
        <v>719984</v>
      </c>
      <c r="D24" s="15">
        <f>738453-18469</f>
        <v>719984</v>
      </c>
      <c r="E24" s="60">
        <v>0</v>
      </c>
      <c r="F24" s="15">
        <v>0</v>
      </c>
      <c r="G24" s="60">
        <v>0</v>
      </c>
      <c r="H24" s="15">
        <v>0</v>
      </c>
      <c r="I24" s="60">
        <v>0</v>
      </c>
      <c r="J24" s="15">
        <v>0</v>
      </c>
      <c r="K24" s="60">
        <v>0</v>
      </c>
      <c r="L24" s="109">
        <f t="shared" si="2"/>
        <v>719984</v>
      </c>
    </row>
    <row r="25" spans="1:12" s="65" customFormat="1" ht="25.5" hidden="1">
      <c r="A25" s="112" t="s">
        <v>195</v>
      </c>
      <c r="B25" s="113" t="s">
        <v>196</v>
      </c>
      <c r="C25" s="110">
        <f t="shared" si="0"/>
        <v>0</v>
      </c>
      <c r="D25" s="87">
        <f>D26</f>
        <v>0</v>
      </c>
      <c r="E25" s="92">
        <f aca="true" t="shared" si="7" ref="E25:K25">E26</f>
        <v>0</v>
      </c>
      <c r="F25" s="87">
        <f t="shared" si="7"/>
        <v>0</v>
      </c>
      <c r="G25" s="92">
        <f t="shared" si="7"/>
        <v>0</v>
      </c>
      <c r="H25" s="87">
        <f t="shared" si="7"/>
        <v>0</v>
      </c>
      <c r="I25" s="92">
        <f t="shared" si="7"/>
        <v>0</v>
      </c>
      <c r="J25" s="87">
        <f t="shared" si="7"/>
        <v>0</v>
      </c>
      <c r="K25" s="92">
        <f t="shared" si="7"/>
        <v>0</v>
      </c>
      <c r="L25" s="110">
        <f t="shared" si="2"/>
        <v>0</v>
      </c>
    </row>
    <row r="26" spans="1:12" s="65" customFormat="1" ht="15" hidden="1">
      <c r="A26" s="85" t="s">
        <v>197</v>
      </c>
      <c r="B26" s="86" t="s">
        <v>198</v>
      </c>
      <c r="C26" s="110">
        <f t="shared" si="0"/>
        <v>0</v>
      </c>
      <c r="D26" s="88"/>
      <c r="E26" s="89"/>
      <c r="F26" s="88"/>
      <c r="G26" s="89"/>
      <c r="H26" s="88"/>
      <c r="I26" s="89"/>
      <c r="J26" s="88"/>
      <c r="K26" s="89"/>
      <c r="L26" s="110">
        <f t="shared" si="2"/>
        <v>0</v>
      </c>
    </row>
    <row r="27" spans="1:12" ht="15">
      <c r="A27" s="21" t="s">
        <v>199</v>
      </c>
      <c r="B27" s="22" t="s">
        <v>200</v>
      </c>
      <c r="C27" s="108">
        <f t="shared" si="0"/>
        <v>2585405</v>
      </c>
      <c r="D27" s="23">
        <f>D28</f>
        <v>2585405</v>
      </c>
      <c r="E27" s="61">
        <f aca="true" t="shared" si="8" ref="E27:K27">E28</f>
        <v>0</v>
      </c>
      <c r="F27" s="23">
        <f t="shared" si="8"/>
        <v>0</v>
      </c>
      <c r="G27" s="61">
        <f t="shared" si="8"/>
        <v>0</v>
      </c>
      <c r="H27" s="23">
        <f t="shared" si="8"/>
        <v>0</v>
      </c>
      <c r="I27" s="61">
        <f t="shared" si="8"/>
        <v>0</v>
      </c>
      <c r="J27" s="23">
        <f t="shared" si="8"/>
        <v>0</v>
      </c>
      <c r="K27" s="61">
        <f t="shared" si="8"/>
        <v>0</v>
      </c>
      <c r="L27" s="108">
        <f t="shared" si="2"/>
        <v>2585405</v>
      </c>
    </row>
    <row r="28" spans="1:12" ht="15">
      <c r="A28" s="16" t="s">
        <v>201</v>
      </c>
      <c r="B28" s="17" t="s">
        <v>202</v>
      </c>
      <c r="C28" s="109">
        <f t="shared" si="0"/>
        <v>2585405</v>
      </c>
      <c r="D28" s="23">
        <v>2585405</v>
      </c>
      <c r="E28" s="60">
        <v>0</v>
      </c>
      <c r="F28" s="15">
        <v>0</v>
      </c>
      <c r="G28" s="60">
        <v>0</v>
      </c>
      <c r="H28" s="15">
        <v>0</v>
      </c>
      <c r="I28" s="60">
        <v>0</v>
      </c>
      <c r="J28" s="15">
        <v>0</v>
      </c>
      <c r="K28" s="60">
        <v>0</v>
      </c>
      <c r="L28" s="109">
        <f t="shared" si="2"/>
        <v>2585405</v>
      </c>
    </row>
    <row r="29" spans="1:12" ht="27" customHeight="1">
      <c r="A29" s="10" t="s">
        <v>203</v>
      </c>
      <c r="B29" s="11" t="s">
        <v>204</v>
      </c>
      <c r="C29" s="108">
        <f t="shared" si="0"/>
        <v>941961</v>
      </c>
      <c r="D29" s="23">
        <f aca="true" t="shared" si="9" ref="D29:K29">SUM(D30:D31)</f>
        <v>261064</v>
      </c>
      <c r="E29" s="61">
        <f t="shared" si="9"/>
        <v>0</v>
      </c>
      <c r="F29" s="23">
        <f t="shared" si="9"/>
        <v>0</v>
      </c>
      <c r="G29" s="61">
        <f t="shared" si="9"/>
        <v>0</v>
      </c>
      <c r="H29" s="23">
        <f t="shared" si="9"/>
        <v>0</v>
      </c>
      <c r="I29" s="61">
        <f t="shared" si="9"/>
        <v>0</v>
      </c>
      <c r="J29" s="23">
        <f t="shared" si="9"/>
        <v>680897</v>
      </c>
      <c r="K29" s="59">
        <f t="shared" si="9"/>
        <v>0</v>
      </c>
      <c r="L29" s="108">
        <f t="shared" si="2"/>
        <v>941961</v>
      </c>
    </row>
    <row r="30" spans="1:12" ht="25.5">
      <c r="A30" s="16" t="s">
        <v>205</v>
      </c>
      <c r="B30" s="17" t="s">
        <v>206</v>
      </c>
      <c r="C30" s="109">
        <f t="shared" si="0"/>
        <v>941961</v>
      </c>
      <c r="D30" s="15">
        <v>261064</v>
      </c>
      <c r="E30" s="60">
        <v>0</v>
      </c>
      <c r="F30" s="15">
        <v>0</v>
      </c>
      <c r="G30" s="60">
        <v>0</v>
      </c>
      <c r="H30" s="15">
        <v>0</v>
      </c>
      <c r="I30" s="60">
        <v>0</v>
      </c>
      <c r="J30" s="15">
        <v>680897</v>
      </c>
      <c r="K30" s="60">
        <v>0</v>
      </c>
      <c r="L30" s="109">
        <f t="shared" si="2"/>
        <v>941961</v>
      </c>
    </row>
    <row r="31" spans="1:12" ht="33" customHeight="1" hidden="1">
      <c r="A31" s="85" t="s">
        <v>207</v>
      </c>
      <c r="B31" s="86" t="s">
        <v>208</v>
      </c>
      <c r="C31" s="110">
        <f t="shared" si="0"/>
        <v>0</v>
      </c>
      <c r="D31" s="88"/>
      <c r="E31" s="89"/>
      <c r="F31" s="88"/>
      <c r="G31" s="89"/>
      <c r="H31" s="88"/>
      <c r="I31" s="89"/>
      <c r="J31" s="88"/>
      <c r="K31" s="89"/>
      <c r="L31" s="110">
        <f t="shared" si="2"/>
        <v>0</v>
      </c>
    </row>
    <row r="32" spans="1:12" ht="38.25">
      <c r="A32" s="10" t="s">
        <v>209</v>
      </c>
      <c r="B32" s="11" t="s">
        <v>210</v>
      </c>
      <c r="C32" s="108">
        <f t="shared" si="0"/>
        <v>379655</v>
      </c>
      <c r="D32" s="23">
        <f>D33</f>
        <v>379655</v>
      </c>
      <c r="E32" s="61">
        <f aca="true" t="shared" si="10" ref="E32:K32">E33</f>
        <v>0</v>
      </c>
      <c r="F32" s="23">
        <f t="shared" si="10"/>
        <v>0</v>
      </c>
      <c r="G32" s="61">
        <f t="shared" si="10"/>
        <v>0</v>
      </c>
      <c r="H32" s="23">
        <f t="shared" si="10"/>
        <v>0</v>
      </c>
      <c r="I32" s="61">
        <f t="shared" si="10"/>
        <v>0</v>
      </c>
      <c r="J32" s="23">
        <f t="shared" si="10"/>
        <v>0</v>
      </c>
      <c r="K32" s="61">
        <f t="shared" si="10"/>
        <v>0</v>
      </c>
      <c r="L32" s="108">
        <f t="shared" si="2"/>
        <v>379655</v>
      </c>
    </row>
    <row r="33" spans="1:12" ht="15">
      <c r="A33" s="16" t="s">
        <v>211</v>
      </c>
      <c r="B33" s="17" t="s">
        <v>461</v>
      </c>
      <c r="C33" s="109">
        <f t="shared" si="0"/>
        <v>379655</v>
      </c>
      <c r="D33" s="15">
        <f>400000-1000-19345</f>
        <v>379655</v>
      </c>
      <c r="E33" s="60">
        <v>0</v>
      </c>
      <c r="F33" s="15">
        <v>0</v>
      </c>
      <c r="G33" s="60">
        <v>0</v>
      </c>
      <c r="H33" s="15">
        <v>0</v>
      </c>
      <c r="I33" s="60">
        <v>0</v>
      </c>
      <c r="J33" s="15">
        <v>0</v>
      </c>
      <c r="K33" s="60">
        <v>0</v>
      </c>
      <c r="L33" s="109">
        <f t="shared" si="2"/>
        <v>379655</v>
      </c>
    </row>
    <row r="34" spans="1:12" ht="15">
      <c r="A34" s="55" t="s">
        <v>152</v>
      </c>
      <c r="B34" s="56" t="s">
        <v>153</v>
      </c>
      <c r="C34" s="9">
        <f t="shared" si="0"/>
        <v>4234340</v>
      </c>
      <c r="D34" s="57">
        <f>D35+D38</f>
        <v>3765782</v>
      </c>
      <c r="E34" s="58">
        <f aca="true" t="shared" si="11" ref="E34:K34">E35+E38</f>
        <v>0</v>
      </c>
      <c r="F34" s="57">
        <f t="shared" si="11"/>
        <v>453268</v>
      </c>
      <c r="G34" s="58">
        <f t="shared" si="11"/>
        <v>0</v>
      </c>
      <c r="H34" s="57">
        <f t="shared" si="11"/>
        <v>0</v>
      </c>
      <c r="I34" s="58">
        <f t="shared" si="11"/>
        <v>0</v>
      </c>
      <c r="J34" s="57">
        <f t="shared" si="11"/>
        <v>15290</v>
      </c>
      <c r="K34" s="58">
        <f t="shared" si="11"/>
        <v>0</v>
      </c>
      <c r="L34" s="9">
        <f t="shared" si="2"/>
        <v>4234340</v>
      </c>
    </row>
    <row r="35" spans="1:12" ht="15">
      <c r="A35" s="10" t="s">
        <v>212</v>
      </c>
      <c r="B35" s="11" t="s">
        <v>213</v>
      </c>
      <c r="C35" s="108">
        <f t="shared" si="0"/>
        <v>4058066</v>
      </c>
      <c r="D35" s="23">
        <f>D36+D37</f>
        <v>3604798</v>
      </c>
      <c r="E35" s="61">
        <f>E36+E37</f>
        <v>0</v>
      </c>
      <c r="F35" s="23">
        <f aca="true" t="shared" si="12" ref="F35:K35">F36+F37</f>
        <v>453268</v>
      </c>
      <c r="G35" s="61">
        <f t="shared" si="12"/>
        <v>0</v>
      </c>
      <c r="H35" s="23">
        <f t="shared" si="12"/>
        <v>0</v>
      </c>
      <c r="I35" s="61">
        <f t="shared" si="12"/>
        <v>0</v>
      </c>
      <c r="J35" s="23">
        <f t="shared" si="12"/>
        <v>0</v>
      </c>
      <c r="K35" s="61">
        <f t="shared" si="12"/>
        <v>0</v>
      </c>
      <c r="L35" s="108">
        <f t="shared" si="2"/>
        <v>4058066</v>
      </c>
    </row>
    <row r="36" spans="1:12" ht="25.5">
      <c r="A36" s="16" t="s">
        <v>214</v>
      </c>
      <c r="B36" s="14" t="s">
        <v>509</v>
      </c>
      <c r="C36" s="109">
        <f t="shared" si="0"/>
        <v>4058066</v>
      </c>
      <c r="D36" s="18">
        <f>3589798+15000</f>
        <v>3604798</v>
      </c>
      <c r="E36" s="60">
        <v>0</v>
      </c>
      <c r="F36" s="15">
        <v>453268</v>
      </c>
      <c r="G36" s="60">
        <v>0</v>
      </c>
      <c r="H36" s="15">
        <v>0</v>
      </c>
      <c r="I36" s="60">
        <v>0</v>
      </c>
      <c r="J36" s="15">
        <v>0</v>
      </c>
      <c r="K36" s="60">
        <v>0</v>
      </c>
      <c r="L36" s="109">
        <f t="shared" si="2"/>
        <v>4058066</v>
      </c>
    </row>
    <row r="37" spans="1:12" ht="15" hidden="1">
      <c r="A37" s="85" t="s">
        <v>501</v>
      </c>
      <c r="B37" s="86" t="s">
        <v>502</v>
      </c>
      <c r="C37" s="110">
        <f t="shared" si="0"/>
        <v>0</v>
      </c>
      <c r="D37" s="88"/>
      <c r="E37" s="89"/>
      <c r="F37" s="88"/>
      <c r="G37" s="89"/>
      <c r="H37" s="88"/>
      <c r="I37" s="89"/>
      <c r="J37" s="88"/>
      <c r="K37" s="89"/>
      <c r="L37" s="110">
        <f t="shared" si="2"/>
        <v>0</v>
      </c>
    </row>
    <row r="38" spans="1:12" ht="25.5">
      <c r="A38" s="10" t="s">
        <v>215</v>
      </c>
      <c r="B38" s="11" t="s">
        <v>216</v>
      </c>
      <c r="C38" s="108">
        <f t="shared" si="0"/>
        <v>176274</v>
      </c>
      <c r="D38" s="12">
        <f aca="true" t="shared" si="13" ref="D38:K38">SUM(D39:D40)</f>
        <v>160984</v>
      </c>
      <c r="E38" s="59">
        <f t="shared" si="13"/>
        <v>0</v>
      </c>
      <c r="F38" s="12">
        <f t="shared" si="13"/>
        <v>0</v>
      </c>
      <c r="G38" s="59">
        <f t="shared" si="13"/>
        <v>0</v>
      </c>
      <c r="H38" s="12">
        <f t="shared" si="13"/>
        <v>0</v>
      </c>
      <c r="I38" s="59">
        <f t="shared" si="13"/>
        <v>0</v>
      </c>
      <c r="J38" s="12">
        <f t="shared" si="13"/>
        <v>15290</v>
      </c>
      <c r="K38" s="59">
        <f t="shared" si="13"/>
        <v>0</v>
      </c>
      <c r="L38" s="108">
        <f t="shared" si="2"/>
        <v>176274</v>
      </c>
    </row>
    <row r="39" spans="1:12" ht="25.5">
      <c r="A39" s="16" t="s">
        <v>217</v>
      </c>
      <c r="B39" s="17" t="s">
        <v>510</v>
      </c>
      <c r="C39" s="109">
        <f t="shared" si="0"/>
        <v>176274</v>
      </c>
      <c r="D39" s="18">
        <v>160984</v>
      </c>
      <c r="E39" s="60">
        <v>0</v>
      </c>
      <c r="F39" s="15">
        <v>0</v>
      </c>
      <c r="G39" s="60">
        <v>0</v>
      </c>
      <c r="H39" s="15">
        <v>0</v>
      </c>
      <c r="I39" s="60">
        <v>0</v>
      </c>
      <c r="J39" s="15">
        <v>15290</v>
      </c>
      <c r="K39" s="60">
        <v>0</v>
      </c>
      <c r="L39" s="109">
        <f t="shared" si="2"/>
        <v>176274</v>
      </c>
    </row>
    <row r="40" spans="1:12" ht="15" hidden="1">
      <c r="A40" s="85" t="s">
        <v>501</v>
      </c>
      <c r="B40" s="86" t="s">
        <v>502</v>
      </c>
      <c r="C40" s="110">
        <f t="shared" si="0"/>
        <v>0</v>
      </c>
      <c r="D40" s="88"/>
      <c r="E40" s="89"/>
      <c r="F40" s="88"/>
      <c r="G40" s="89"/>
      <c r="H40" s="88"/>
      <c r="I40" s="89"/>
      <c r="J40" s="88"/>
      <c r="K40" s="89"/>
      <c r="L40" s="110">
        <f t="shared" si="2"/>
        <v>0</v>
      </c>
    </row>
    <row r="41" spans="1:12" ht="15">
      <c r="A41" s="55" t="s">
        <v>154</v>
      </c>
      <c r="B41" s="56" t="s">
        <v>155</v>
      </c>
      <c r="C41" s="9">
        <f t="shared" si="0"/>
        <v>20590410</v>
      </c>
      <c r="D41" s="57">
        <f aca="true" t="shared" si="14" ref="D41:K41">D42+D49+D54+D59</f>
        <v>12070012</v>
      </c>
      <c r="E41" s="58">
        <f t="shared" si="14"/>
        <v>1278430</v>
      </c>
      <c r="F41" s="57">
        <f t="shared" si="14"/>
        <v>133015</v>
      </c>
      <c r="G41" s="58">
        <f t="shared" si="14"/>
        <v>0</v>
      </c>
      <c r="H41" s="57">
        <f t="shared" si="14"/>
        <v>8357383</v>
      </c>
      <c r="I41" s="58">
        <f t="shared" si="14"/>
        <v>0</v>
      </c>
      <c r="J41" s="57">
        <f t="shared" si="14"/>
        <v>30000</v>
      </c>
      <c r="K41" s="58">
        <f t="shared" si="14"/>
        <v>0</v>
      </c>
      <c r="L41" s="9">
        <f t="shared" si="2"/>
        <v>21868840</v>
      </c>
    </row>
    <row r="42" spans="1:12" ht="15">
      <c r="A42" s="10" t="s">
        <v>218</v>
      </c>
      <c r="B42" s="11" t="s">
        <v>219</v>
      </c>
      <c r="C42" s="108">
        <f>D42+F42+H42+J42</f>
        <v>9654781</v>
      </c>
      <c r="D42" s="12">
        <f>SUM(D43:D48)</f>
        <v>5172699</v>
      </c>
      <c r="E42" s="59">
        <f aca="true" t="shared" si="15" ref="E42:K42">SUM(E43:E48)</f>
        <v>1278430</v>
      </c>
      <c r="F42" s="12">
        <f t="shared" si="15"/>
        <v>0</v>
      </c>
      <c r="G42" s="59">
        <f t="shared" si="15"/>
        <v>0</v>
      </c>
      <c r="H42" s="12">
        <f t="shared" si="15"/>
        <v>4482082</v>
      </c>
      <c r="I42" s="59">
        <f t="shared" si="15"/>
        <v>0</v>
      </c>
      <c r="J42" s="12">
        <f t="shared" si="15"/>
        <v>0</v>
      </c>
      <c r="K42" s="12">
        <f t="shared" si="15"/>
        <v>0</v>
      </c>
      <c r="L42" s="108">
        <f>SUM(D42:K42)</f>
        <v>10933211</v>
      </c>
    </row>
    <row r="43" spans="1:12" ht="38.25">
      <c r="A43" s="16" t="s">
        <v>220</v>
      </c>
      <c r="B43" s="17" t="s">
        <v>221</v>
      </c>
      <c r="C43" s="109">
        <f aca="true" t="shared" si="16" ref="C43:C75">D43+F43+H43+J43</f>
        <v>2061852</v>
      </c>
      <c r="D43" s="18">
        <v>542245</v>
      </c>
      <c r="E43" s="60">
        <v>0</v>
      </c>
      <c r="F43" s="15">
        <v>0</v>
      </c>
      <c r="G43" s="60">
        <v>0</v>
      </c>
      <c r="H43" s="15">
        <f>1388397+131210</f>
        <v>1519607</v>
      </c>
      <c r="I43" s="60">
        <v>0</v>
      </c>
      <c r="J43" s="15">
        <v>0</v>
      </c>
      <c r="K43" s="60">
        <v>0</v>
      </c>
      <c r="L43" s="109">
        <f aca="true" t="shared" si="17" ref="L43:L75">SUM(D43:K43)</f>
        <v>2061852</v>
      </c>
    </row>
    <row r="44" spans="1:12" ht="38.25">
      <c r="A44" s="16" t="s">
        <v>222</v>
      </c>
      <c r="B44" s="14" t="s">
        <v>436</v>
      </c>
      <c r="C44" s="109">
        <f t="shared" si="16"/>
        <v>3186109</v>
      </c>
      <c r="D44" s="18">
        <v>2375125</v>
      </c>
      <c r="E44" s="60">
        <v>0</v>
      </c>
      <c r="F44" s="15">
        <v>0</v>
      </c>
      <c r="G44" s="60">
        <v>0</v>
      </c>
      <c r="H44" s="15">
        <v>810984</v>
      </c>
      <c r="I44" s="60">
        <v>0</v>
      </c>
      <c r="J44" s="15">
        <v>0</v>
      </c>
      <c r="K44" s="60">
        <v>0</v>
      </c>
      <c r="L44" s="109">
        <f t="shared" si="17"/>
        <v>3186109</v>
      </c>
    </row>
    <row r="45" spans="1:12" ht="51">
      <c r="A45" s="13" t="s">
        <v>512</v>
      </c>
      <c r="B45" s="14" t="s">
        <v>511</v>
      </c>
      <c r="C45" s="109">
        <f t="shared" si="16"/>
        <v>1357863</v>
      </c>
      <c r="D45" s="15">
        <f>549958+191057</f>
        <v>741015</v>
      </c>
      <c r="E45" s="60">
        <v>0</v>
      </c>
      <c r="F45" s="15">
        <v>0</v>
      </c>
      <c r="G45" s="60">
        <v>0</v>
      </c>
      <c r="H45" s="15">
        <f>1081973-465125</f>
        <v>616848</v>
      </c>
      <c r="I45" s="60">
        <v>0</v>
      </c>
      <c r="J45" s="15">
        <v>0</v>
      </c>
      <c r="K45" s="60">
        <v>0</v>
      </c>
      <c r="L45" s="109">
        <f t="shared" si="17"/>
        <v>1357863</v>
      </c>
    </row>
    <row r="46" spans="1:12" ht="25.5">
      <c r="A46" s="13" t="s">
        <v>791</v>
      </c>
      <c r="B46" s="14" t="s">
        <v>792</v>
      </c>
      <c r="C46" s="109">
        <f t="shared" si="16"/>
        <v>2817396</v>
      </c>
      <c r="D46" s="15">
        <f>1000000+282753</f>
        <v>1282753</v>
      </c>
      <c r="E46" s="60">
        <v>0</v>
      </c>
      <c r="F46" s="15">
        <v>0</v>
      </c>
      <c r="G46" s="60">
        <v>0</v>
      </c>
      <c r="H46" s="15">
        <f>1000000+534643</f>
        <v>1534643</v>
      </c>
      <c r="I46" s="60">
        <v>0</v>
      </c>
      <c r="J46" s="15">
        <v>0</v>
      </c>
      <c r="K46" s="60">
        <v>0</v>
      </c>
      <c r="L46" s="109">
        <f t="shared" si="17"/>
        <v>2817396</v>
      </c>
    </row>
    <row r="47" spans="1:12" s="2" customFormat="1" ht="38.25">
      <c r="A47" s="13" t="s">
        <v>968</v>
      </c>
      <c r="B47" s="14" t="s">
        <v>967</v>
      </c>
      <c r="C47" s="109">
        <f t="shared" si="16"/>
        <v>231561</v>
      </c>
      <c r="D47" s="15">
        <v>231561</v>
      </c>
      <c r="E47" s="60">
        <v>0</v>
      </c>
      <c r="F47" s="15">
        <v>0</v>
      </c>
      <c r="G47" s="60">
        <v>0</v>
      </c>
      <c r="H47" s="15">
        <v>0</v>
      </c>
      <c r="I47" s="60">
        <v>0</v>
      </c>
      <c r="J47" s="15">
        <v>0</v>
      </c>
      <c r="K47" s="60">
        <v>0</v>
      </c>
      <c r="L47" s="109">
        <f t="shared" si="17"/>
        <v>231561</v>
      </c>
    </row>
    <row r="48" spans="1:12" s="2" customFormat="1" ht="25.5">
      <c r="A48" s="13" t="s">
        <v>979</v>
      </c>
      <c r="B48" s="14" t="s">
        <v>982</v>
      </c>
      <c r="C48" s="109">
        <f>D48+F48+H48+J48</f>
        <v>0</v>
      </c>
      <c r="D48" s="15">
        <v>0</v>
      </c>
      <c r="E48" s="60">
        <v>1278430</v>
      </c>
      <c r="F48" s="15">
        <v>0</v>
      </c>
      <c r="G48" s="60">
        <v>0</v>
      </c>
      <c r="H48" s="15">
        <v>0</v>
      </c>
      <c r="I48" s="60">
        <v>0</v>
      </c>
      <c r="J48" s="15">
        <v>0</v>
      </c>
      <c r="K48" s="60">
        <v>0</v>
      </c>
      <c r="L48" s="109">
        <f>SUM(D48:K48)</f>
        <v>1278430</v>
      </c>
    </row>
    <row r="49" spans="1:12" ht="15">
      <c r="A49" s="10" t="s">
        <v>223</v>
      </c>
      <c r="B49" s="11" t="s">
        <v>224</v>
      </c>
      <c r="C49" s="108">
        <f t="shared" si="16"/>
        <v>1387731</v>
      </c>
      <c r="D49" s="12">
        <f aca="true" t="shared" si="18" ref="D49:K49">SUM(D50:D53)</f>
        <v>743785</v>
      </c>
      <c r="E49" s="61">
        <f t="shared" si="18"/>
        <v>0</v>
      </c>
      <c r="F49" s="23">
        <f t="shared" si="18"/>
        <v>69675</v>
      </c>
      <c r="G49" s="61">
        <f t="shared" si="18"/>
        <v>0</v>
      </c>
      <c r="H49" s="23">
        <f t="shared" si="18"/>
        <v>544271</v>
      </c>
      <c r="I49" s="61">
        <f t="shared" si="18"/>
        <v>0</v>
      </c>
      <c r="J49" s="23">
        <f t="shared" si="18"/>
        <v>30000</v>
      </c>
      <c r="K49" s="61">
        <f t="shared" si="18"/>
        <v>0</v>
      </c>
      <c r="L49" s="108">
        <f t="shared" si="17"/>
        <v>1387731</v>
      </c>
    </row>
    <row r="50" spans="1:12" ht="25.5">
      <c r="A50" s="16" t="s">
        <v>225</v>
      </c>
      <c r="B50" s="17" t="s">
        <v>513</v>
      </c>
      <c r="C50" s="109">
        <f t="shared" si="16"/>
        <v>734409</v>
      </c>
      <c r="D50" s="18">
        <v>634734</v>
      </c>
      <c r="E50" s="60">
        <v>0</v>
      </c>
      <c r="F50" s="15">
        <v>69675</v>
      </c>
      <c r="G50" s="60">
        <v>0</v>
      </c>
      <c r="H50" s="15">
        <v>0</v>
      </c>
      <c r="I50" s="60">
        <v>0</v>
      </c>
      <c r="J50" s="15">
        <v>30000</v>
      </c>
      <c r="K50" s="60">
        <v>0</v>
      </c>
      <c r="L50" s="109">
        <f t="shared" si="17"/>
        <v>734409</v>
      </c>
    </row>
    <row r="51" spans="1:12" ht="63.75">
      <c r="A51" s="13" t="s">
        <v>226</v>
      </c>
      <c r="B51" s="14" t="s">
        <v>227</v>
      </c>
      <c r="C51" s="109">
        <f t="shared" si="16"/>
        <v>188993</v>
      </c>
      <c r="D51" s="18">
        <f>11470-488</f>
        <v>10982</v>
      </c>
      <c r="E51" s="60">
        <v>0</v>
      </c>
      <c r="F51" s="15">
        <v>0</v>
      </c>
      <c r="G51" s="60">
        <v>0</v>
      </c>
      <c r="H51" s="15">
        <v>178011</v>
      </c>
      <c r="I51" s="60">
        <v>0</v>
      </c>
      <c r="J51" s="15">
        <v>0</v>
      </c>
      <c r="K51" s="60">
        <v>0</v>
      </c>
      <c r="L51" s="109">
        <f t="shared" si="17"/>
        <v>188993</v>
      </c>
    </row>
    <row r="52" spans="1:12" ht="51">
      <c r="A52" s="13" t="s">
        <v>438</v>
      </c>
      <c r="B52" s="14" t="s">
        <v>462</v>
      </c>
      <c r="C52" s="109">
        <f t="shared" si="16"/>
        <v>411725</v>
      </c>
      <c r="D52" s="15">
        <v>97786</v>
      </c>
      <c r="E52" s="60">
        <v>0</v>
      </c>
      <c r="F52" s="15">
        <v>0</v>
      </c>
      <c r="G52" s="60">
        <v>0</v>
      </c>
      <c r="H52" s="15">
        <v>313939</v>
      </c>
      <c r="I52" s="60">
        <v>0</v>
      </c>
      <c r="J52" s="15">
        <v>0</v>
      </c>
      <c r="K52" s="60">
        <v>0</v>
      </c>
      <c r="L52" s="109">
        <f t="shared" si="17"/>
        <v>411725</v>
      </c>
    </row>
    <row r="53" spans="1:12" ht="38.25">
      <c r="A53" s="13" t="s">
        <v>439</v>
      </c>
      <c r="B53" s="14" t="s">
        <v>437</v>
      </c>
      <c r="C53" s="109">
        <f t="shared" si="16"/>
        <v>52604</v>
      </c>
      <c r="D53" s="15">
        <f>12420-12137</f>
        <v>283</v>
      </c>
      <c r="E53" s="60">
        <v>0</v>
      </c>
      <c r="F53" s="15">
        <v>0</v>
      </c>
      <c r="G53" s="60">
        <v>0</v>
      </c>
      <c r="H53" s="15">
        <v>52321</v>
      </c>
      <c r="I53" s="60">
        <v>0</v>
      </c>
      <c r="J53" s="15">
        <v>0</v>
      </c>
      <c r="K53" s="60">
        <v>0</v>
      </c>
      <c r="L53" s="109">
        <f t="shared" si="17"/>
        <v>52604</v>
      </c>
    </row>
    <row r="54" spans="1:12" ht="15">
      <c r="A54" s="21" t="s">
        <v>228</v>
      </c>
      <c r="B54" s="22" t="s">
        <v>229</v>
      </c>
      <c r="C54" s="108">
        <f t="shared" si="16"/>
        <v>9429998</v>
      </c>
      <c r="D54" s="23">
        <f aca="true" t="shared" si="19" ref="D54:K54">SUM(D55:D58)</f>
        <v>6035628</v>
      </c>
      <c r="E54" s="61">
        <f t="shared" si="19"/>
        <v>0</v>
      </c>
      <c r="F54" s="23">
        <f t="shared" si="19"/>
        <v>63340</v>
      </c>
      <c r="G54" s="61">
        <f t="shared" si="19"/>
        <v>0</v>
      </c>
      <c r="H54" s="23">
        <f t="shared" si="19"/>
        <v>3331030</v>
      </c>
      <c r="I54" s="61">
        <f t="shared" si="19"/>
        <v>0</v>
      </c>
      <c r="J54" s="23">
        <f t="shared" si="19"/>
        <v>0</v>
      </c>
      <c r="K54" s="61">
        <f t="shared" si="19"/>
        <v>0</v>
      </c>
      <c r="L54" s="108">
        <f t="shared" si="17"/>
        <v>9429998</v>
      </c>
    </row>
    <row r="55" spans="1:12" ht="25.5">
      <c r="A55" s="13" t="s">
        <v>446</v>
      </c>
      <c r="B55" s="14" t="s">
        <v>440</v>
      </c>
      <c r="C55" s="109">
        <f t="shared" si="16"/>
        <v>9230628</v>
      </c>
      <c r="D55" s="15">
        <f>2500000+3535628</f>
        <v>6035628</v>
      </c>
      <c r="E55" s="60">
        <v>0</v>
      </c>
      <c r="F55" s="15">
        <v>0</v>
      </c>
      <c r="G55" s="60">
        <v>0</v>
      </c>
      <c r="H55" s="15">
        <v>3195000</v>
      </c>
      <c r="I55" s="60">
        <v>0</v>
      </c>
      <c r="J55" s="15">
        <v>0</v>
      </c>
      <c r="K55" s="60">
        <v>0</v>
      </c>
      <c r="L55" s="109">
        <f t="shared" si="17"/>
        <v>9230628</v>
      </c>
    </row>
    <row r="56" spans="1:12" ht="25.5">
      <c r="A56" s="13" t="s">
        <v>447</v>
      </c>
      <c r="B56" s="14" t="s">
        <v>478</v>
      </c>
      <c r="C56" s="109">
        <f t="shared" si="16"/>
        <v>65034</v>
      </c>
      <c r="D56" s="15">
        <f>48030-48030</f>
        <v>0</v>
      </c>
      <c r="E56" s="60">
        <v>0</v>
      </c>
      <c r="F56" s="15">
        <v>63340</v>
      </c>
      <c r="G56" s="60">
        <v>0</v>
      </c>
      <c r="H56" s="15">
        <v>1694</v>
      </c>
      <c r="I56" s="60">
        <v>0</v>
      </c>
      <c r="J56" s="15">
        <v>0</v>
      </c>
      <c r="K56" s="60">
        <v>0</v>
      </c>
      <c r="L56" s="109">
        <f t="shared" si="17"/>
        <v>65034</v>
      </c>
    </row>
    <row r="57" spans="1:12" ht="25.5">
      <c r="A57" s="78" t="s">
        <v>463</v>
      </c>
      <c r="B57" s="79" t="s">
        <v>464</v>
      </c>
      <c r="C57" s="109">
        <f t="shared" si="16"/>
        <v>134336</v>
      </c>
      <c r="D57" s="15">
        <v>0</v>
      </c>
      <c r="E57" s="60">
        <v>0</v>
      </c>
      <c r="F57" s="15">
        <v>0</v>
      </c>
      <c r="G57" s="60">
        <v>0</v>
      </c>
      <c r="H57" s="15">
        <v>134336</v>
      </c>
      <c r="I57" s="60">
        <v>0</v>
      </c>
      <c r="J57" s="15">
        <v>0</v>
      </c>
      <c r="K57" s="60">
        <v>0</v>
      </c>
      <c r="L57" s="109">
        <f t="shared" si="17"/>
        <v>134336</v>
      </c>
    </row>
    <row r="58" spans="1:12" ht="15" hidden="1">
      <c r="A58" s="114" t="s">
        <v>501</v>
      </c>
      <c r="B58" s="115" t="s">
        <v>502</v>
      </c>
      <c r="C58" s="110">
        <f t="shared" si="16"/>
        <v>0</v>
      </c>
      <c r="D58" s="88"/>
      <c r="E58" s="89"/>
      <c r="F58" s="88"/>
      <c r="G58" s="89"/>
      <c r="H58" s="88"/>
      <c r="I58" s="89"/>
      <c r="J58" s="88"/>
      <c r="K58" s="89"/>
      <c r="L58" s="110">
        <f t="shared" si="17"/>
        <v>0</v>
      </c>
    </row>
    <row r="59" spans="1:12" ht="25.5">
      <c r="A59" s="10" t="s">
        <v>230</v>
      </c>
      <c r="B59" s="11" t="s">
        <v>231</v>
      </c>
      <c r="C59" s="108">
        <f t="shared" si="16"/>
        <v>117900</v>
      </c>
      <c r="D59" s="12">
        <f aca="true" t="shared" si="20" ref="D59:K59">SUM(D60:D62)</f>
        <v>117900</v>
      </c>
      <c r="E59" s="61">
        <f t="shared" si="20"/>
        <v>0</v>
      </c>
      <c r="F59" s="23">
        <f t="shared" si="20"/>
        <v>0</v>
      </c>
      <c r="G59" s="61">
        <f t="shared" si="20"/>
        <v>0</v>
      </c>
      <c r="H59" s="23">
        <f t="shared" si="20"/>
        <v>0</v>
      </c>
      <c r="I59" s="61">
        <f t="shared" si="20"/>
        <v>0</v>
      </c>
      <c r="J59" s="23">
        <f t="shared" si="20"/>
        <v>0</v>
      </c>
      <c r="K59" s="61">
        <f t="shared" si="20"/>
        <v>0</v>
      </c>
      <c r="L59" s="108">
        <f t="shared" si="17"/>
        <v>117900</v>
      </c>
    </row>
    <row r="60" spans="1:12" ht="38.25">
      <c r="A60" s="16" t="s">
        <v>232</v>
      </c>
      <c r="B60" s="17" t="s">
        <v>233</v>
      </c>
      <c r="C60" s="109">
        <f t="shared" si="16"/>
        <v>61900</v>
      </c>
      <c r="D60" s="18">
        <v>61900</v>
      </c>
      <c r="E60" s="60">
        <v>0</v>
      </c>
      <c r="F60" s="15">
        <v>0</v>
      </c>
      <c r="G60" s="60">
        <v>0</v>
      </c>
      <c r="H60" s="15">
        <v>0</v>
      </c>
      <c r="I60" s="60">
        <v>0</v>
      </c>
      <c r="J60" s="15">
        <v>0</v>
      </c>
      <c r="K60" s="60">
        <v>0</v>
      </c>
      <c r="L60" s="109">
        <f t="shared" si="17"/>
        <v>61900</v>
      </c>
    </row>
    <row r="61" spans="1:12" s="65" customFormat="1" ht="25.5">
      <c r="A61" s="13" t="s">
        <v>234</v>
      </c>
      <c r="B61" s="14" t="s">
        <v>235</v>
      </c>
      <c r="C61" s="109">
        <f t="shared" si="16"/>
        <v>6000</v>
      </c>
      <c r="D61" s="15">
        <v>6000</v>
      </c>
      <c r="E61" s="60">
        <v>0</v>
      </c>
      <c r="F61" s="15">
        <v>0</v>
      </c>
      <c r="G61" s="60">
        <v>0</v>
      </c>
      <c r="H61" s="15">
        <v>0</v>
      </c>
      <c r="I61" s="60">
        <v>0</v>
      </c>
      <c r="J61" s="15">
        <v>0</v>
      </c>
      <c r="K61" s="60">
        <v>0</v>
      </c>
      <c r="L61" s="109">
        <f t="shared" si="17"/>
        <v>6000</v>
      </c>
    </row>
    <row r="62" spans="1:12" ht="38.25">
      <c r="A62" s="16" t="s">
        <v>236</v>
      </c>
      <c r="B62" s="14" t="s">
        <v>237</v>
      </c>
      <c r="C62" s="109">
        <f t="shared" si="16"/>
        <v>50000</v>
      </c>
      <c r="D62" s="18">
        <v>50000</v>
      </c>
      <c r="E62" s="60">
        <v>0</v>
      </c>
      <c r="F62" s="15">
        <v>0</v>
      </c>
      <c r="G62" s="60">
        <v>0</v>
      </c>
      <c r="H62" s="15">
        <v>0</v>
      </c>
      <c r="I62" s="60">
        <v>0</v>
      </c>
      <c r="J62" s="15">
        <v>0</v>
      </c>
      <c r="K62" s="60">
        <v>0</v>
      </c>
      <c r="L62" s="109">
        <f t="shared" si="17"/>
        <v>50000</v>
      </c>
    </row>
    <row r="63" spans="1:12" ht="15">
      <c r="A63" s="55" t="s">
        <v>156</v>
      </c>
      <c r="B63" s="56" t="s">
        <v>157</v>
      </c>
      <c r="C63" s="9">
        <f t="shared" si="16"/>
        <v>3132116</v>
      </c>
      <c r="D63" s="57">
        <f>D64+D67+D69+D72</f>
        <v>3132116</v>
      </c>
      <c r="E63" s="58">
        <f>E64+E67+E69+E72</f>
        <v>0</v>
      </c>
      <c r="F63" s="57">
        <f aca="true" t="shared" si="21" ref="F63:K63">F64+F67+F69+F72</f>
        <v>0</v>
      </c>
      <c r="G63" s="58">
        <f t="shared" si="21"/>
        <v>0</v>
      </c>
      <c r="H63" s="57">
        <f t="shared" si="21"/>
        <v>0</v>
      </c>
      <c r="I63" s="58">
        <f t="shared" si="21"/>
        <v>0</v>
      </c>
      <c r="J63" s="57">
        <f t="shared" si="21"/>
        <v>0</v>
      </c>
      <c r="K63" s="58">
        <f t="shared" si="21"/>
        <v>0</v>
      </c>
      <c r="L63" s="9">
        <f t="shared" si="17"/>
        <v>3132116</v>
      </c>
    </row>
    <row r="64" spans="1:12" ht="15">
      <c r="A64" s="10" t="s">
        <v>238</v>
      </c>
      <c r="B64" s="11" t="s">
        <v>239</v>
      </c>
      <c r="C64" s="108">
        <f t="shared" si="16"/>
        <v>2431607</v>
      </c>
      <c r="D64" s="12">
        <f>SUM(D65:D66)</f>
        <v>2431607</v>
      </c>
      <c r="E64" s="59">
        <f aca="true" t="shared" si="22" ref="E64:K64">SUM(E65:E66)</f>
        <v>0</v>
      </c>
      <c r="F64" s="12">
        <f t="shared" si="22"/>
        <v>0</v>
      </c>
      <c r="G64" s="59">
        <f t="shared" si="22"/>
        <v>0</v>
      </c>
      <c r="H64" s="12">
        <f t="shared" si="22"/>
        <v>0</v>
      </c>
      <c r="I64" s="59">
        <f t="shared" si="22"/>
        <v>0</v>
      </c>
      <c r="J64" s="12">
        <f t="shared" si="22"/>
        <v>0</v>
      </c>
      <c r="K64" s="59">
        <f t="shared" si="22"/>
        <v>0</v>
      </c>
      <c r="L64" s="108">
        <f t="shared" si="17"/>
        <v>2431607</v>
      </c>
    </row>
    <row r="65" spans="1:12" ht="38.25">
      <c r="A65" s="16" t="s">
        <v>240</v>
      </c>
      <c r="B65" s="17" t="s">
        <v>241</v>
      </c>
      <c r="C65" s="109">
        <f t="shared" si="16"/>
        <v>1690428</v>
      </c>
      <c r="D65" s="18">
        <f>1612428+78000</f>
        <v>1690428</v>
      </c>
      <c r="E65" s="60">
        <v>0</v>
      </c>
      <c r="F65" s="15">
        <v>0</v>
      </c>
      <c r="G65" s="81">
        <v>0</v>
      </c>
      <c r="H65" s="15">
        <v>0</v>
      </c>
      <c r="I65" s="81">
        <v>0</v>
      </c>
      <c r="J65" s="15">
        <v>0</v>
      </c>
      <c r="K65" s="81">
        <v>0</v>
      </c>
      <c r="L65" s="109">
        <f t="shared" si="17"/>
        <v>1690428</v>
      </c>
    </row>
    <row r="66" spans="1:12" ht="15">
      <c r="A66" s="16" t="s">
        <v>242</v>
      </c>
      <c r="B66" s="17" t="s">
        <v>465</v>
      </c>
      <c r="C66" s="109">
        <f t="shared" si="16"/>
        <v>741179</v>
      </c>
      <c r="D66" s="18">
        <v>741179</v>
      </c>
      <c r="E66" s="60">
        <v>0</v>
      </c>
      <c r="F66" s="15">
        <v>0</v>
      </c>
      <c r="G66" s="81">
        <v>0</v>
      </c>
      <c r="H66" s="15">
        <v>0</v>
      </c>
      <c r="I66" s="81">
        <v>0</v>
      </c>
      <c r="J66" s="15">
        <v>0</v>
      </c>
      <c r="K66" s="81">
        <v>0</v>
      </c>
      <c r="L66" s="109">
        <f t="shared" si="17"/>
        <v>741179</v>
      </c>
    </row>
    <row r="67" spans="1:12" ht="15">
      <c r="A67" s="10" t="s">
        <v>243</v>
      </c>
      <c r="B67" s="11" t="s">
        <v>244</v>
      </c>
      <c r="C67" s="108">
        <f t="shared" si="16"/>
        <v>548659</v>
      </c>
      <c r="D67" s="23">
        <f>D68</f>
        <v>548659</v>
      </c>
      <c r="E67" s="61">
        <f aca="true" t="shared" si="23" ref="E67:K67">E68</f>
        <v>0</v>
      </c>
      <c r="F67" s="23">
        <f t="shared" si="23"/>
        <v>0</v>
      </c>
      <c r="G67" s="61">
        <f t="shared" si="23"/>
        <v>0</v>
      </c>
      <c r="H67" s="23">
        <f t="shared" si="23"/>
        <v>0</v>
      </c>
      <c r="I67" s="61">
        <f t="shared" si="23"/>
        <v>0</v>
      </c>
      <c r="J67" s="23">
        <f t="shared" si="23"/>
        <v>0</v>
      </c>
      <c r="K67" s="61">
        <f t="shared" si="23"/>
        <v>0</v>
      </c>
      <c r="L67" s="108">
        <f t="shared" si="17"/>
        <v>548659</v>
      </c>
    </row>
    <row r="68" spans="1:12" ht="15">
      <c r="A68" s="16" t="s">
        <v>245</v>
      </c>
      <c r="B68" s="17" t="s">
        <v>244</v>
      </c>
      <c r="C68" s="109">
        <f t="shared" si="16"/>
        <v>548659</v>
      </c>
      <c r="D68" s="18">
        <f>568399-19740</f>
        <v>548659</v>
      </c>
      <c r="E68" s="60">
        <v>0</v>
      </c>
      <c r="F68" s="15">
        <v>0</v>
      </c>
      <c r="G68" s="60">
        <v>0</v>
      </c>
      <c r="H68" s="15">
        <v>0</v>
      </c>
      <c r="I68" s="60">
        <v>0</v>
      </c>
      <c r="J68" s="15">
        <v>0</v>
      </c>
      <c r="K68" s="60">
        <v>0</v>
      </c>
      <c r="L68" s="109">
        <f t="shared" si="17"/>
        <v>548659</v>
      </c>
    </row>
    <row r="69" spans="1:12" ht="25.5">
      <c r="A69" s="21" t="s">
        <v>246</v>
      </c>
      <c r="B69" s="22" t="s">
        <v>247</v>
      </c>
      <c r="C69" s="108">
        <f t="shared" si="16"/>
        <v>151850</v>
      </c>
      <c r="D69" s="23">
        <f>SUM(D70:D71)</f>
        <v>151850</v>
      </c>
      <c r="E69" s="61">
        <f aca="true" t="shared" si="24" ref="E69:K69">SUM(E70:E71)</f>
        <v>0</v>
      </c>
      <c r="F69" s="23">
        <f t="shared" si="24"/>
        <v>0</v>
      </c>
      <c r="G69" s="61">
        <f t="shared" si="24"/>
        <v>0</v>
      </c>
      <c r="H69" s="23">
        <f t="shared" si="24"/>
        <v>0</v>
      </c>
      <c r="I69" s="61">
        <f t="shared" si="24"/>
        <v>0</v>
      </c>
      <c r="J69" s="23">
        <f t="shared" si="24"/>
        <v>0</v>
      </c>
      <c r="K69" s="61">
        <f t="shared" si="24"/>
        <v>0</v>
      </c>
      <c r="L69" s="108">
        <f t="shared" si="17"/>
        <v>151850</v>
      </c>
    </row>
    <row r="70" spans="1:12" ht="38.25">
      <c r="A70" s="13" t="s">
        <v>248</v>
      </c>
      <c r="B70" s="14" t="s">
        <v>441</v>
      </c>
      <c r="C70" s="109">
        <f t="shared" si="16"/>
        <v>151850</v>
      </c>
      <c r="D70" s="15">
        <v>151850</v>
      </c>
      <c r="E70" s="60">
        <v>0</v>
      </c>
      <c r="F70" s="15">
        <v>0</v>
      </c>
      <c r="G70" s="60">
        <v>0</v>
      </c>
      <c r="H70" s="15">
        <v>0</v>
      </c>
      <c r="I70" s="60">
        <v>0</v>
      </c>
      <c r="J70" s="15">
        <v>0</v>
      </c>
      <c r="K70" s="60">
        <v>0</v>
      </c>
      <c r="L70" s="109">
        <f t="shared" si="17"/>
        <v>151850</v>
      </c>
    </row>
    <row r="71" spans="1:12" ht="15" hidden="1">
      <c r="A71" s="85" t="s">
        <v>501</v>
      </c>
      <c r="B71" s="86" t="s">
        <v>502</v>
      </c>
      <c r="C71" s="110">
        <f t="shared" si="16"/>
        <v>0</v>
      </c>
      <c r="D71" s="88"/>
      <c r="E71" s="89"/>
      <c r="F71" s="88"/>
      <c r="G71" s="89"/>
      <c r="H71" s="88"/>
      <c r="I71" s="89"/>
      <c r="J71" s="88"/>
      <c r="K71" s="89"/>
      <c r="L71" s="110">
        <f t="shared" si="17"/>
        <v>0</v>
      </c>
    </row>
    <row r="72" spans="1:12" ht="25.5" hidden="1">
      <c r="A72" s="90" t="s">
        <v>249</v>
      </c>
      <c r="B72" s="91" t="s">
        <v>250</v>
      </c>
      <c r="C72" s="110">
        <f t="shared" si="16"/>
        <v>0</v>
      </c>
      <c r="D72" s="87">
        <f>SUM(D73:D74)</f>
        <v>0</v>
      </c>
      <c r="E72" s="92">
        <f aca="true" t="shared" si="25" ref="E72:K72">SUM(E73:E74)</f>
        <v>0</v>
      </c>
      <c r="F72" s="87">
        <f t="shared" si="25"/>
        <v>0</v>
      </c>
      <c r="G72" s="92">
        <f t="shared" si="25"/>
        <v>0</v>
      </c>
      <c r="H72" s="87">
        <f t="shared" si="25"/>
        <v>0</v>
      </c>
      <c r="I72" s="92">
        <f t="shared" si="25"/>
        <v>0</v>
      </c>
      <c r="J72" s="87">
        <f t="shared" si="25"/>
        <v>0</v>
      </c>
      <c r="K72" s="92">
        <f t="shared" si="25"/>
        <v>0</v>
      </c>
      <c r="L72" s="110">
        <f t="shared" si="17"/>
        <v>0</v>
      </c>
    </row>
    <row r="73" spans="1:12" ht="15" hidden="1">
      <c r="A73" s="85" t="s">
        <v>501</v>
      </c>
      <c r="B73" s="86" t="s">
        <v>502</v>
      </c>
      <c r="C73" s="110">
        <f t="shared" si="16"/>
        <v>0</v>
      </c>
      <c r="D73" s="93"/>
      <c r="E73" s="94"/>
      <c r="F73" s="88"/>
      <c r="G73" s="94"/>
      <c r="H73" s="88"/>
      <c r="I73" s="94"/>
      <c r="J73" s="88"/>
      <c r="K73" s="94"/>
      <c r="L73" s="110">
        <f t="shared" si="17"/>
        <v>0</v>
      </c>
    </row>
    <row r="74" spans="1:12" ht="15" hidden="1">
      <c r="A74" s="85" t="s">
        <v>501</v>
      </c>
      <c r="B74" s="86" t="s">
        <v>502</v>
      </c>
      <c r="C74" s="110">
        <f t="shared" si="16"/>
        <v>0</v>
      </c>
      <c r="D74" s="93"/>
      <c r="E74" s="89"/>
      <c r="F74" s="88"/>
      <c r="G74" s="89"/>
      <c r="H74" s="88"/>
      <c r="I74" s="89"/>
      <c r="J74" s="88"/>
      <c r="K74" s="89"/>
      <c r="L74" s="110">
        <f t="shared" si="17"/>
        <v>0</v>
      </c>
    </row>
    <row r="75" spans="1:12" ht="15">
      <c r="A75" s="55" t="s">
        <v>158</v>
      </c>
      <c r="B75" s="56" t="s">
        <v>159</v>
      </c>
      <c r="C75" s="9">
        <f t="shared" si="16"/>
        <v>5284481</v>
      </c>
      <c r="D75" s="57">
        <f>D76+D78+D80+D83</f>
        <v>4863306</v>
      </c>
      <c r="E75" s="58">
        <f aca="true" t="shared" si="26" ref="E75:K75">E76+E78+E80+E83</f>
        <v>0</v>
      </c>
      <c r="F75" s="57">
        <f t="shared" si="26"/>
        <v>175883</v>
      </c>
      <c r="G75" s="58">
        <f t="shared" si="26"/>
        <v>0</v>
      </c>
      <c r="H75" s="57">
        <f t="shared" si="26"/>
        <v>245292</v>
      </c>
      <c r="I75" s="58">
        <f t="shared" si="26"/>
        <v>0</v>
      </c>
      <c r="J75" s="57">
        <f t="shared" si="26"/>
        <v>0</v>
      </c>
      <c r="K75" s="58">
        <f t="shared" si="26"/>
        <v>0</v>
      </c>
      <c r="L75" s="9">
        <f t="shared" si="17"/>
        <v>5284481</v>
      </c>
    </row>
    <row r="76" spans="1:12" ht="15" hidden="1">
      <c r="A76" s="90" t="s">
        <v>449</v>
      </c>
      <c r="B76" s="91" t="s">
        <v>448</v>
      </c>
      <c r="C76" s="110">
        <f aca="true" t="shared" si="27" ref="C76:C83">D76+F76+H76+J76</f>
        <v>0</v>
      </c>
      <c r="D76" s="87">
        <f>D77</f>
        <v>0</v>
      </c>
      <c r="E76" s="92">
        <f aca="true" t="shared" si="28" ref="E76:K78">E77</f>
        <v>0</v>
      </c>
      <c r="F76" s="87">
        <f t="shared" si="28"/>
        <v>0</v>
      </c>
      <c r="G76" s="92">
        <f t="shared" si="28"/>
        <v>0</v>
      </c>
      <c r="H76" s="87">
        <f t="shared" si="28"/>
        <v>0</v>
      </c>
      <c r="I76" s="92">
        <f t="shared" si="28"/>
        <v>0</v>
      </c>
      <c r="J76" s="87">
        <f t="shared" si="28"/>
        <v>0</v>
      </c>
      <c r="K76" s="92">
        <f t="shared" si="28"/>
        <v>0</v>
      </c>
      <c r="L76" s="110">
        <f aca="true" t="shared" si="29" ref="L76:L83">SUM(D76:K76)</f>
        <v>0</v>
      </c>
    </row>
    <row r="77" spans="1:12" ht="15" hidden="1">
      <c r="A77" s="85" t="s">
        <v>501</v>
      </c>
      <c r="B77" s="86" t="s">
        <v>502</v>
      </c>
      <c r="C77" s="110">
        <f t="shared" si="27"/>
        <v>0</v>
      </c>
      <c r="D77" s="88"/>
      <c r="E77" s="89"/>
      <c r="F77" s="88"/>
      <c r="G77" s="89"/>
      <c r="H77" s="88"/>
      <c r="I77" s="89"/>
      <c r="J77" s="88"/>
      <c r="K77" s="89"/>
      <c r="L77" s="110">
        <f t="shared" si="29"/>
        <v>0</v>
      </c>
    </row>
    <row r="78" spans="1:12" ht="15">
      <c r="A78" s="10" t="s">
        <v>251</v>
      </c>
      <c r="B78" s="11" t="s">
        <v>252</v>
      </c>
      <c r="C78" s="108">
        <f t="shared" si="27"/>
        <v>303374</v>
      </c>
      <c r="D78" s="23">
        <f>D79</f>
        <v>303374</v>
      </c>
      <c r="E78" s="61">
        <f t="shared" si="28"/>
        <v>0</v>
      </c>
      <c r="F78" s="23">
        <f t="shared" si="28"/>
        <v>0</v>
      </c>
      <c r="G78" s="61">
        <f t="shared" si="28"/>
        <v>0</v>
      </c>
      <c r="H78" s="23">
        <f t="shared" si="28"/>
        <v>0</v>
      </c>
      <c r="I78" s="61">
        <f t="shared" si="28"/>
        <v>0</v>
      </c>
      <c r="J78" s="23">
        <f t="shared" si="28"/>
        <v>0</v>
      </c>
      <c r="K78" s="61">
        <f t="shared" si="28"/>
        <v>0</v>
      </c>
      <c r="L78" s="108">
        <f t="shared" si="29"/>
        <v>303374</v>
      </c>
    </row>
    <row r="79" spans="1:12" ht="25.5">
      <c r="A79" s="16" t="s">
        <v>253</v>
      </c>
      <c r="B79" s="17" t="s">
        <v>254</v>
      </c>
      <c r="C79" s="109">
        <f t="shared" si="27"/>
        <v>303374</v>
      </c>
      <c r="D79" s="18">
        <f>242632+60742</f>
        <v>303374</v>
      </c>
      <c r="E79" s="60">
        <v>0</v>
      </c>
      <c r="F79" s="15">
        <v>0</v>
      </c>
      <c r="G79" s="60">
        <v>0</v>
      </c>
      <c r="H79" s="15">
        <v>0</v>
      </c>
      <c r="I79" s="60">
        <v>0</v>
      </c>
      <c r="J79" s="15">
        <v>0</v>
      </c>
      <c r="K79" s="60">
        <v>0</v>
      </c>
      <c r="L79" s="109">
        <f t="shared" si="29"/>
        <v>303374</v>
      </c>
    </row>
    <row r="80" spans="1:12" ht="15">
      <c r="A80" s="10" t="s">
        <v>255</v>
      </c>
      <c r="B80" s="11" t="s">
        <v>256</v>
      </c>
      <c r="C80" s="108">
        <f t="shared" si="27"/>
        <v>912185</v>
      </c>
      <c r="D80" s="23">
        <f>D81+D82</f>
        <v>745495</v>
      </c>
      <c r="E80" s="61">
        <f aca="true" t="shared" si="30" ref="E80:K80">E81+E82</f>
        <v>0</v>
      </c>
      <c r="F80" s="23">
        <f t="shared" si="30"/>
        <v>21000</v>
      </c>
      <c r="G80" s="61">
        <f t="shared" si="30"/>
        <v>0</v>
      </c>
      <c r="H80" s="23">
        <f t="shared" si="30"/>
        <v>145690</v>
      </c>
      <c r="I80" s="61">
        <f t="shared" si="30"/>
        <v>0</v>
      </c>
      <c r="J80" s="23">
        <f t="shared" si="30"/>
        <v>0</v>
      </c>
      <c r="K80" s="61">
        <f t="shared" si="30"/>
        <v>0</v>
      </c>
      <c r="L80" s="108">
        <f t="shared" si="29"/>
        <v>912185</v>
      </c>
    </row>
    <row r="81" spans="1:12" ht="15">
      <c r="A81" s="16" t="s">
        <v>257</v>
      </c>
      <c r="B81" s="17" t="s">
        <v>256</v>
      </c>
      <c r="C81" s="109">
        <f t="shared" si="27"/>
        <v>657494</v>
      </c>
      <c r="D81" s="18">
        <f>631494+5000</f>
        <v>636494</v>
      </c>
      <c r="E81" s="60">
        <v>0</v>
      </c>
      <c r="F81" s="15">
        <f>10000+11000</f>
        <v>21000</v>
      </c>
      <c r="G81" s="60">
        <v>0</v>
      </c>
      <c r="H81" s="15">
        <v>0</v>
      </c>
      <c r="I81" s="60">
        <v>0</v>
      </c>
      <c r="J81" s="15">
        <v>0</v>
      </c>
      <c r="K81" s="60">
        <v>0</v>
      </c>
      <c r="L81" s="109">
        <f t="shared" si="29"/>
        <v>657494</v>
      </c>
    </row>
    <row r="82" spans="1:12" ht="67.5" customHeight="1">
      <c r="A82" s="13" t="s">
        <v>793</v>
      </c>
      <c r="B82" s="14" t="s">
        <v>794</v>
      </c>
      <c r="C82" s="109">
        <f t="shared" si="27"/>
        <v>254691</v>
      </c>
      <c r="D82" s="15">
        <f>109001</f>
        <v>109001</v>
      </c>
      <c r="E82" s="60">
        <v>0</v>
      </c>
      <c r="F82" s="15">
        <v>0</v>
      </c>
      <c r="G82" s="60">
        <v>0</v>
      </c>
      <c r="H82" s="15">
        <f>145690</f>
        <v>145690</v>
      </c>
      <c r="I82" s="60">
        <v>0</v>
      </c>
      <c r="J82" s="15">
        <v>0</v>
      </c>
      <c r="K82" s="60">
        <v>0</v>
      </c>
      <c r="L82" s="109">
        <f t="shared" si="29"/>
        <v>254691</v>
      </c>
    </row>
    <row r="83" spans="1:12" ht="25.5">
      <c r="A83" s="10" t="s">
        <v>258</v>
      </c>
      <c r="B83" s="11" t="s">
        <v>259</v>
      </c>
      <c r="C83" s="108">
        <f t="shared" si="27"/>
        <v>4068922</v>
      </c>
      <c r="D83" s="12">
        <f>SUM(D84:D90)</f>
        <v>3814437</v>
      </c>
      <c r="E83" s="61">
        <f aca="true" t="shared" si="31" ref="E83:K83">SUM(E84:E90)</f>
        <v>0</v>
      </c>
      <c r="F83" s="23">
        <f t="shared" si="31"/>
        <v>154883</v>
      </c>
      <c r="G83" s="61">
        <f t="shared" si="31"/>
        <v>0</v>
      </c>
      <c r="H83" s="23">
        <f t="shared" si="31"/>
        <v>99602</v>
      </c>
      <c r="I83" s="61">
        <f t="shared" si="31"/>
        <v>0</v>
      </c>
      <c r="J83" s="12">
        <f t="shared" si="31"/>
        <v>0</v>
      </c>
      <c r="K83" s="59">
        <f t="shared" si="31"/>
        <v>0</v>
      </c>
      <c r="L83" s="108">
        <f t="shared" si="29"/>
        <v>4068922</v>
      </c>
    </row>
    <row r="84" spans="1:12" ht="25.5">
      <c r="A84" s="16" t="s">
        <v>260</v>
      </c>
      <c r="B84" s="17" t="s">
        <v>514</v>
      </c>
      <c r="C84" s="109">
        <f aca="true" t="shared" si="32" ref="C84:C89">D84+F84+H84+J84</f>
        <v>1063592</v>
      </c>
      <c r="D84" s="18">
        <f>967121+8000</f>
        <v>975121</v>
      </c>
      <c r="E84" s="60">
        <v>0</v>
      </c>
      <c r="F84" s="15">
        <f>80757+7714</f>
        <v>88471</v>
      </c>
      <c r="G84" s="60">
        <v>0</v>
      </c>
      <c r="H84" s="15">
        <v>0</v>
      </c>
      <c r="I84" s="60">
        <v>0</v>
      </c>
      <c r="J84" s="15">
        <v>0</v>
      </c>
      <c r="K84" s="81">
        <v>0</v>
      </c>
      <c r="L84" s="109">
        <f aca="true" t="shared" si="33" ref="L84:L90">SUM(D84:K84)</f>
        <v>1063592</v>
      </c>
    </row>
    <row r="85" spans="1:12" ht="25.5">
      <c r="A85" s="16" t="s">
        <v>261</v>
      </c>
      <c r="B85" s="17" t="s">
        <v>452</v>
      </c>
      <c r="C85" s="109">
        <f t="shared" si="32"/>
        <v>2172418</v>
      </c>
      <c r="D85" s="18">
        <f>1989721+182697</f>
        <v>2172418</v>
      </c>
      <c r="E85" s="60">
        <v>0</v>
      </c>
      <c r="F85" s="15">
        <v>0</v>
      </c>
      <c r="G85" s="60">
        <v>0</v>
      </c>
      <c r="H85" s="15">
        <v>0</v>
      </c>
      <c r="I85" s="60">
        <v>0</v>
      </c>
      <c r="J85" s="15">
        <v>0</v>
      </c>
      <c r="K85" s="60">
        <v>0</v>
      </c>
      <c r="L85" s="109">
        <f t="shared" si="33"/>
        <v>2172418</v>
      </c>
    </row>
    <row r="86" spans="1:12" ht="25.5">
      <c r="A86" s="16" t="s">
        <v>262</v>
      </c>
      <c r="B86" s="17" t="s">
        <v>263</v>
      </c>
      <c r="C86" s="109">
        <f t="shared" si="32"/>
        <v>256508</v>
      </c>
      <c r="D86" s="18">
        <v>256508</v>
      </c>
      <c r="E86" s="60">
        <v>0</v>
      </c>
      <c r="F86" s="15">
        <v>0</v>
      </c>
      <c r="G86" s="60">
        <v>0</v>
      </c>
      <c r="H86" s="15">
        <v>0</v>
      </c>
      <c r="I86" s="60">
        <v>0</v>
      </c>
      <c r="J86" s="15">
        <v>0</v>
      </c>
      <c r="K86" s="60">
        <v>0</v>
      </c>
      <c r="L86" s="109">
        <f t="shared" si="33"/>
        <v>256508</v>
      </c>
    </row>
    <row r="87" spans="1:12" ht="25.5">
      <c r="A87" s="16" t="s">
        <v>264</v>
      </c>
      <c r="B87" s="17" t="s">
        <v>265</v>
      </c>
      <c r="C87" s="109">
        <f t="shared" si="32"/>
        <v>548404</v>
      </c>
      <c r="D87" s="18">
        <f>322390+60000</f>
        <v>382390</v>
      </c>
      <c r="E87" s="60">
        <v>0</v>
      </c>
      <c r="F87" s="15">
        <v>66412</v>
      </c>
      <c r="G87" s="60">
        <v>0</v>
      </c>
      <c r="H87" s="15">
        <v>99602</v>
      </c>
      <c r="I87" s="60">
        <v>0</v>
      </c>
      <c r="J87" s="15">
        <v>0</v>
      </c>
      <c r="K87" s="81">
        <v>0</v>
      </c>
      <c r="L87" s="109">
        <f t="shared" si="33"/>
        <v>548404</v>
      </c>
    </row>
    <row r="88" spans="1:12" ht="38.25">
      <c r="A88" s="16" t="s">
        <v>266</v>
      </c>
      <c r="B88" s="17" t="s">
        <v>267</v>
      </c>
      <c r="C88" s="109">
        <f t="shared" si="32"/>
        <v>7000</v>
      </c>
      <c r="D88" s="18">
        <v>7000</v>
      </c>
      <c r="E88" s="60">
        <v>0</v>
      </c>
      <c r="F88" s="15">
        <v>0</v>
      </c>
      <c r="G88" s="60">
        <v>0</v>
      </c>
      <c r="H88" s="15">
        <v>0</v>
      </c>
      <c r="I88" s="60">
        <v>0</v>
      </c>
      <c r="J88" s="15">
        <v>0</v>
      </c>
      <c r="K88" s="81">
        <v>0</v>
      </c>
      <c r="L88" s="109">
        <f t="shared" si="33"/>
        <v>7000</v>
      </c>
    </row>
    <row r="89" spans="1:12" ht="51">
      <c r="A89" s="16" t="s">
        <v>268</v>
      </c>
      <c r="B89" s="17" t="s">
        <v>269</v>
      </c>
      <c r="C89" s="109">
        <f t="shared" si="32"/>
        <v>21000</v>
      </c>
      <c r="D89" s="18">
        <v>21000</v>
      </c>
      <c r="E89" s="60">
        <v>0</v>
      </c>
      <c r="F89" s="15">
        <v>0</v>
      </c>
      <c r="G89" s="60">
        <v>0</v>
      </c>
      <c r="H89" s="15">
        <v>0</v>
      </c>
      <c r="I89" s="60">
        <v>0</v>
      </c>
      <c r="J89" s="15">
        <v>0</v>
      </c>
      <c r="K89" s="81">
        <v>0</v>
      </c>
      <c r="L89" s="109">
        <f t="shared" si="33"/>
        <v>21000</v>
      </c>
    </row>
    <row r="90" spans="1:12" ht="15" hidden="1">
      <c r="A90" s="85" t="s">
        <v>501</v>
      </c>
      <c r="B90" s="86" t="s">
        <v>502</v>
      </c>
      <c r="C90" s="110">
        <f>D90+F90+H90+J90</f>
        <v>0</v>
      </c>
      <c r="D90" s="88"/>
      <c r="E90" s="89"/>
      <c r="F90" s="88"/>
      <c r="G90" s="89"/>
      <c r="H90" s="88"/>
      <c r="I90" s="89"/>
      <c r="J90" s="88"/>
      <c r="K90" s="89"/>
      <c r="L90" s="110">
        <f t="shared" si="33"/>
        <v>0</v>
      </c>
    </row>
    <row r="91" spans="1:12" ht="15">
      <c r="A91" s="55" t="s">
        <v>160</v>
      </c>
      <c r="B91" s="56" t="s">
        <v>161</v>
      </c>
      <c r="C91" s="9">
        <f>D91+F91+H91+J91</f>
        <v>281300</v>
      </c>
      <c r="D91" s="57">
        <f aca="true" t="shared" si="34" ref="D91:K91">SUM(D92:D97)</f>
        <v>222282</v>
      </c>
      <c r="E91" s="58">
        <f t="shared" si="34"/>
        <v>0</v>
      </c>
      <c r="F91" s="57">
        <f t="shared" si="34"/>
        <v>0</v>
      </c>
      <c r="G91" s="58">
        <f t="shared" si="34"/>
        <v>0</v>
      </c>
      <c r="H91" s="57">
        <f t="shared" si="34"/>
        <v>59018</v>
      </c>
      <c r="I91" s="58">
        <f t="shared" si="34"/>
        <v>0</v>
      </c>
      <c r="J91" s="57">
        <f t="shared" si="34"/>
        <v>0</v>
      </c>
      <c r="K91" s="58">
        <f t="shared" si="34"/>
        <v>0</v>
      </c>
      <c r="L91" s="9">
        <f>SUM(D91:K91)</f>
        <v>281300</v>
      </c>
    </row>
    <row r="92" spans="1:12" ht="15">
      <c r="A92" s="16" t="s">
        <v>270</v>
      </c>
      <c r="B92" s="17" t="s">
        <v>271</v>
      </c>
      <c r="C92" s="109">
        <f aca="true" t="shared" si="35" ref="C92:C97">D92+F92+H92+J92</f>
        <v>72630</v>
      </c>
      <c r="D92" s="18">
        <v>69900</v>
      </c>
      <c r="E92" s="60">
        <v>0</v>
      </c>
      <c r="F92" s="15">
        <v>0</v>
      </c>
      <c r="G92" s="60">
        <v>0</v>
      </c>
      <c r="H92" s="15">
        <v>2730</v>
      </c>
      <c r="I92" s="60">
        <v>0</v>
      </c>
      <c r="J92" s="15">
        <v>0</v>
      </c>
      <c r="K92" s="81">
        <v>0</v>
      </c>
      <c r="L92" s="109">
        <f aca="true" t="shared" si="36" ref="L92:L97">SUM(D92:K92)</f>
        <v>72630</v>
      </c>
    </row>
    <row r="93" spans="1:12" ht="25.5">
      <c r="A93" s="16" t="s">
        <v>272</v>
      </c>
      <c r="B93" s="17" t="s">
        <v>273</v>
      </c>
      <c r="C93" s="109">
        <f t="shared" si="35"/>
        <v>13730</v>
      </c>
      <c r="D93" s="18">
        <v>12460</v>
      </c>
      <c r="E93" s="60">
        <v>0</v>
      </c>
      <c r="F93" s="15">
        <v>0</v>
      </c>
      <c r="G93" s="60">
        <v>0</v>
      </c>
      <c r="H93" s="15">
        <v>1270</v>
      </c>
      <c r="I93" s="60">
        <v>0</v>
      </c>
      <c r="J93" s="15">
        <v>0</v>
      </c>
      <c r="K93" s="81">
        <v>0</v>
      </c>
      <c r="L93" s="109">
        <f t="shared" si="36"/>
        <v>13730</v>
      </c>
    </row>
    <row r="94" spans="1:12" ht="15">
      <c r="A94" s="16" t="s">
        <v>274</v>
      </c>
      <c r="B94" s="17" t="s">
        <v>275</v>
      </c>
      <c r="C94" s="109">
        <f t="shared" si="35"/>
        <v>27420</v>
      </c>
      <c r="D94" s="18">
        <v>26420</v>
      </c>
      <c r="E94" s="60">
        <v>0</v>
      </c>
      <c r="F94" s="15">
        <v>0</v>
      </c>
      <c r="G94" s="60">
        <v>0</v>
      </c>
      <c r="H94" s="15">
        <v>1000</v>
      </c>
      <c r="I94" s="60">
        <v>0</v>
      </c>
      <c r="J94" s="15">
        <v>0</v>
      </c>
      <c r="K94" s="81">
        <v>0</v>
      </c>
      <c r="L94" s="109">
        <f t="shared" si="36"/>
        <v>27420</v>
      </c>
    </row>
    <row r="95" spans="1:12" ht="15">
      <c r="A95" s="16" t="s">
        <v>276</v>
      </c>
      <c r="B95" s="17" t="s">
        <v>277</v>
      </c>
      <c r="C95" s="109">
        <f t="shared" si="35"/>
        <v>4386</v>
      </c>
      <c r="D95" s="18">
        <v>4386</v>
      </c>
      <c r="E95" s="60">
        <v>0</v>
      </c>
      <c r="F95" s="15">
        <v>0</v>
      </c>
      <c r="G95" s="60">
        <v>0</v>
      </c>
      <c r="H95" s="15">
        <v>0</v>
      </c>
      <c r="I95" s="60">
        <v>0</v>
      </c>
      <c r="J95" s="15">
        <v>0</v>
      </c>
      <c r="K95" s="81">
        <v>0</v>
      </c>
      <c r="L95" s="109">
        <f t="shared" si="36"/>
        <v>4386</v>
      </c>
    </row>
    <row r="96" spans="1:12" ht="25.5">
      <c r="A96" s="16" t="s">
        <v>278</v>
      </c>
      <c r="B96" s="17" t="s">
        <v>460</v>
      </c>
      <c r="C96" s="109">
        <f t="shared" si="35"/>
        <v>161134</v>
      </c>
      <c r="D96" s="18">
        <v>107116</v>
      </c>
      <c r="E96" s="60">
        <v>0</v>
      </c>
      <c r="F96" s="15">
        <v>0</v>
      </c>
      <c r="G96" s="60">
        <v>0</v>
      </c>
      <c r="H96" s="15">
        <v>54018</v>
      </c>
      <c r="I96" s="60">
        <v>0</v>
      </c>
      <c r="J96" s="15">
        <v>0</v>
      </c>
      <c r="K96" s="60">
        <v>0</v>
      </c>
      <c r="L96" s="109">
        <f t="shared" si="36"/>
        <v>161134</v>
      </c>
    </row>
    <row r="97" spans="1:12" ht="25.5">
      <c r="A97" s="16" t="s">
        <v>279</v>
      </c>
      <c r="B97" s="17" t="s">
        <v>280</v>
      </c>
      <c r="C97" s="109">
        <f t="shared" si="35"/>
        <v>2000</v>
      </c>
      <c r="D97" s="18">
        <v>2000</v>
      </c>
      <c r="E97" s="60">
        <v>0</v>
      </c>
      <c r="F97" s="15">
        <v>0</v>
      </c>
      <c r="G97" s="60">
        <v>0</v>
      </c>
      <c r="H97" s="15">
        <v>0</v>
      </c>
      <c r="I97" s="60">
        <v>0</v>
      </c>
      <c r="J97" s="15">
        <v>0</v>
      </c>
      <c r="K97" s="81">
        <v>0</v>
      </c>
      <c r="L97" s="109">
        <f t="shared" si="36"/>
        <v>2000</v>
      </c>
    </row>
    <row r="98" spans="1:12" ht="15">
      <c r="A98" s="55" t="s">
        <v>162</v>
      </c>
      <c r="B98" s="56" t="s">
        <v>163</v>
      </c>
      <c r="C98" s="9">
        <f aca="true" t="shared" si="37" ref="C98:C132">D98+F98+H98+J98</f>
        <v>7679155</v>
      </c>
      <c r="D98" s="57">
        <f>D99+D104+D120+D125</f>
        <v>6817958</v>
      </c>
      <c r="E98" s="58">
        <f aca="true" t="shared" si="38" ref="E98:K98">E99+E104+E120+E125</f>
        <v>0</v>
      </c>
      <c r="F98" s="57">
        <f t="shared" si="38"/>
        <v>733987</v>
      </c>
      <c r="G98" s="58">
        <f t="shared" si="38"/>
        <v>0</v>
      </c>
      <c r="H98" s="57">
        <f t="shared" si="38"/>
        <v>107446</v>
      </c>
      <c r="I98" s="58">
        <f t="shared" si="38"/>
        <v>55450</v>
      </c>
      <c r="J98" s="57">
        <f t="shared" si="38"/>
        <v>19764</v>
      </c>
      <c r="K98" s="58">
        <f t="shared" si="38"/>
        <v>0</v>
      </c>
      <c r="L98" s="9">
        <f aca="true" t="shared" si="39" ref="L98:L103">SUM(D98:K98)</f>
        <v>7734605</v>
      </c>
    </row>
    <row r="99" spans="1:12" ht="15">
      <c r="A99" s="10" t="s">
        <v>281</v>
      </c>
      <c r="B99" s="11" t="s">
        <v>282</v>
      </c>
      <c r="C99" s="108">
        <f t="shared" si="37"/>
        <v>1355185</v>
      </c>
      <c r="D99" s="12">
        <f>SUM(D100:D103)</f>
        <v>1332112</v>
      </c>
      <c r="E99" s="59">
        <f aca="true" t="shared" si="40" ref="E99:K99">SUM(E100:E103)</f>
        <v>0</v>
      </c>
      <c r="F99" s="12">
        <f t="shared" si="40"/>
        <v>23073</v>
      </c>
      <c r="G99" s="59">
        <f t="shared" si="40"/>
        <v>0</v>
      </c>
      <c r="H99" s="12">
        <f t="shared" si="40"/>
        <v>0</v>
      </c>
      <c r="I99" s="59">
        <f t="shared" si="40"/>
        <v>0</v>
      </c>
      <c r="J99" s="12">
        <f t="shared" si="40"/>
        <v>0</v>
      </c>
      <c r="K99" s="59">
        <f t="shared" si="40"/>
        <v>0</v>
      </c>
      <c r="L99" s="108">
        <f t="shared" si="39"/>
        <v>1355185</v>
      </c>
    </row>
    <row r="100" spans="1:12" ht="25.5">
      <c r="A100" s="16" t="s">
        <v>283</v>
      </c>
      <c r="B100" s="17" t="s">
        <v>515</v>
      </c>
      <c r="C100" s="109">
        <f t="shared" si="37"/>
        <v>659215</v>
      </c>
      <c r="D100" s="15">
        <f>576142+60000</f>
        <v>636142</v>
      </c>
      <c r="E100" s="60">
        <v>0</v>
      </c>
      <c r="F100" s="15">
        <v>23073</v>
      </c>
      <c r="G100" s="60">
        <v>0</v>
      </c>
      <c r="H100" s="15">
        <v>0</v>
      </c>
      <c r="I100" s="60">
        <v>0</v>
      </c>
      <c r="J100" s="15">
        <v>0</v>
      </c>
      <c r="K100" s="60">
        <v>0</v>
      </c>
      <c r="L100" s="109">
        <f t="shared" si="39"/>
        <v>659215</v>
      </c>
    </row>
    <row r="101" spans="1:12" ht="15">
      <c r="A101" s="16" t="s">
        <v>284</v>
      </c>
      <c r="B101" s="17" t="s">
        <v>285</v>
      </c>
      <c r="C101" s="109">
        <f t="shared" si="37"/>
        <v>690970</v>
      </c>
      <c r="D101" s="15">
        <f>685970+5000</f>
        <v>690970</v>
      </c>
      <c r="E101" s="60">
        <v>0</v>
      </c>
      <c r="F101" s="15">
        <v>0</v>
      </c>
      <c r="G101" s="60">
        <v>0</v>
      </c>
      <c r="H101" s="15">
        <v>0</v>
      </c>
      <c r="I101" s="60">
        <v>0</v>
      </c>
      <c r="J101" s="15">
        <v>0</v>
      </c>
      <c r="K101" s="60">
        <v>0</v>
      </c>
      <c r="L101" s="109">
        <f t="shared" si="39"/>
        <v>690970</v>
      </c>
    </row>
    <row r="102" spans="1:12" ht="25.5">
      <c r="A102" s="16" t="s">
        <v>286</v>
      </c>
      <c r="B102" s="17" t="s">
        <v>287</v>
      </c>
      <c r="C102" s="109">
        <f t="shared" si="37"/>
        <v>5000</v>
      </c>
      <c r="D102" s="15">
        <v>5000</v>
      </c>
      <c r="E102" s="60">
        <v>0</v>
      </c>
      <c r="F102" s="15">
        <v>0</v>
      </c>
      <c r="G102" s="60">
        <v>0</v>
      </c>
      <c r="H102" s="15">
        <v>0</v>
      </c>
      <c r="I102" s="60">
        <v>0</v>
      </c>
      <c r="J102" s="15">
        <v>0</v>
      </c>
      <c r="K102" s="60">
        <v>0</v>
      </c>
      <c r="L102" s="109">
        <f t="shared" si="39"/>
        <v>5000</v>
      </c>
    </row>
    <row r="103" spans="1:12" ht="38.25" hidden="1">
      <c r="A103" s="85" t="s">
        <v>450</v>
      </c>
      <c r="B103" s="86" t="s">
        <v>451</v>
      </c>
      <c r="C103" s="110">
        <f t="shared" si="37"/>
        <v>0</v>
      </c>
      <c r="D103" s="88"/>
      <c r="E103" s="89"/>
      <c r="F103" s="88"/>
      <c r="G103" s="89"/>
      <c r="H103" s="88"/>
      <c r="I103" s="89"/>
      <c r="J103" s="88"/>
      <c r="K103" s="89"/>
      <c r="L103" s="110">
        <f t="shared" si="39"/>
        <v>0</v>
      </c>
    </row>
    <row r="104" spans="1:12" ht="15">
      <c r="A104" s="10" t="s">
        <v>288</v>
      </c>
      <c r="B104" s="11" t="s">
        <v>289</v>
      </c>
      <c r="C104" s="108">
        <f t="shared" si="37"/>
        <v>5544856</v>
      </c>
      <c r="D104" s="12">
        <f aca="true" t="shared" si="41" ref="D104:L104">D105+D108+D110+D113+D117</f>
        <v>4706852</v>
      </c>
      <c r="E104" s="61">
        <f t="shared" si="41"/>
        <v>0</v>
      </c>
      <c r="F104" s="23">
        <f t="shared" si="41"/>
        <v>710794</v>
      </c>
      <c r="G104" s="61">
        <f t="shared" si="41"/>
        <v>0</v>
      </c>
      <c r="H104" s="23">
        <f t="shared" si="41"/>
        <v>107446</v>
      </c>
      <c r="I104" s="61">
        <f t="shared" si="41"/>
        <v>0</v>
      </c>
      <c r="J104" s="23">
        <f t="shared" si="41"/>
        <v>19764</v>
      </c>
      <c r="K104" s="61">
        <f t="shared" si="41"/>
        <v>0</v>
      </c>
      <c r="L104" s="109">
        <f t="shared" si="41"/>
        <v>5544856</v>
      </c>
    </row>
    <row r="105" spans="1:12" ht="15">
      <c r="A105" s="10" t="s">
        <v>290</v>
      </c>
      <c r="B105" s="11" t="s">
        <v>291</v>
      </c>
      <c r="C105" s="108">
        <f t="shared" si="37"/>
        <v>918172</v>
      </c>
      <c r="D105" s="12">
        <f aca="true" t="shared" si="42" ref="D105:K105">SUM(D106:D107)</f>
        <v>872770</v>
      </c>
      <c r="E105" s="61">
        <f t="shared" si="42"/>
        <v>0</v>
      </c>
      <c r="F105" s="23">
        <f t="shared" si="42"/>
        <v>6965</v>
      </c>
      <c r="G105" s="61">
        <f t="shared" si="42"/>
        <v>0</v>
      </c>
      <c r="H105" s="23">
        <f t="shared" si="42"/>
        <v>18673</v>
      </c>
      <c r="I105" s="61">
        <f t="shared" si="42"/>
        <v>0</v>
      </c>
      <c r="J105" s="23">
        <f t="shared" si="42"/>
        <v>19764</v>
      </c>
      <c r="K105" s="61">
        <f t="shared" si="42"/>
        <v>0</v>
      </c>
      <c r="L105" s="108">
        <f aca="true" t="shared" si="43" ref="L105:L132">SUM(D105:K105)</f>
        <v>918172</v>
      </c>
    </row>
    <row r="106" spans="1:12" ht="25.5">
      <c r="A106" s="16" t="s">
        <v>292</v>
      </c>
      <c r="B106" s="14" t="s">
        <v>516</v>
      </c>
      <c r="C106" s="109">
        <f t="shared" si="37"/>
        <v>918172</v>
      </c>
      <c r="D106" s="15">
        <v>872770</v>
      </c>
      <c r="E106" s="60">
        <v>0</v>
      </c>
      <c r="F106" s="15">
        <f>5305+1660</f>
        <v>6965</v>
      </c>
      <c r="G106" s="60">
        <v>0</v>
      </c>
      <c r="H106" s="15">
        <f>17673+1000</f>
        <v>18673</v>
      </c>
      <c r="I106" s="60">
        <v>0</v>
      </c>
      <c r="J106" s="15">
        <v>19764</v>
      </c>
      <c r="K106" s="60">
        <v>0</v>
      </c>
      <c r="L106" s="109">
        <f t="shared" si="43"/>
        <v>918172</v>
      </c>
    </row>
    <row r="107" spans="1:12" ht="15" hidden="1">
      <c r="A107" s="85" t="s">
        <v>501</v>
      </c>
      <c r="B107" s="86" t="s">
        <v>502</v>
      </c>
      <c r="C107" s="110">
        <f t="shared" si="37"/>
        <v>0</v>
      </c>
      <c r="D107" s="88"/>
      <c r="E107" s="89"/>
      <c r="F107" s="88"/>
      <c r="G107" s="89"/>
      <c r="H107" s="88"/>
      <c r="I107" s="89"/>
      <c r="J107" s="88"/>
      <c r="K107" s="89"/>
      <c r="L107" s="110">
        <f t="shared" si="43"/>
        <v>0</v>
      </c>
    </row>
    <row r="108" spans="1:12" ht="15">
      <c r="A108" s="10" t="s">
        <v>293</v>
      </c>
      <c r="B108" s="11" t="s">
        <v>294</v>
      </c>
      <c r="C108" s="108">
        <f t="shared" si="37"/>
        <v>819556</v>
      </c>
      <c r="D108" s="23">
        <f>D109</f>
        <v>802287</v>
      </c>
      <c r="E108" s="61">
        <f aca="true" t="shared" si="44" ref="E108:K108">E109</f>
        <v>0</v>
      </c>
      <c r="F108" s="23">
        <f t="shared" si="44"/>
        <v>17269</v>
      </c>
      <c r="G108" s="61">
        <f t="shared" si="44"/>
        <v>0</v>
      </c>
      <c r="H108" s="23">
        <f t="shared" si="44"/>
        <v>0</v>
      </c>
      <c r="I108" s="61">
        <f t="shared" si="44"/>
        <v>0</v>
      </c>
      <c r="J108" s="23">
        <f t="shared" si="44"/>
        <v>0</v>
      </c>
      <c r="K108" s="61">
        <f t="shared" si="44"/>
        <v>0</v>
      </c>
      <c r="L108" s="108">
        <f t="shared" si="43"/>
        <v>819556</v>
      </c>
    </row>
    <row r="109" spans="1:12" ht="38.25">
      <c r="A109" s="16" t="s">
        <v>295</v>
      </c>
      <c r="B109" s="17" t="s">
        <v>517</v>
      </c>
      <c r="C109" s="109">
        <f t="shared" si="37"/>
        <v>819556</v>
      </c>
      <c r="D109" s="15">
        <v>802287</v>
      </c>
      <c r="E109" s="60">
        <v>0</v>
      </c>
      <c r="F109" s="15">
        <v>17269</v>
      </c>
      <c r="G109" s="60">
        <v>0</v>
      </c>
      <c r="H109" s="15">
        <v>0</v>
      </c>
      <c r="I109" s="60">
        <v>0</v>
      </c>
      <c r="J109" s="15">
        <v>0</v>
      </c>
      <c r="K109" s="60">
        <v>0</v>
      </c>
      <c r="L109" s="109">
        <f t="shared" si="43"/>
        <v>819556</v>
      </c>
    </row>
    <row r="110" spans="1:12" ht="15">
      <c r="A110" s="10" t="s">
        <v>296</v>
      </c>
      <c r="B110" s="11" t="s">
        <v>297</v>
      </c>
      <c r="C110" s="108">
        <f t="shared" si="37"/>
        <v>2706734</v>
      </c>
      <c r="D110" s="23">
        <f>D111+D112</f>
        <v>1946943</v>
      </c>
      <c r="E110" s="61">
        <f aca="true" t="shared" si="45" ref="E110:K110">E111+E112</f>
        <v>0</v>
      </c>
      <c r="F110" s="23">
        <f t="shared" si="45"/>
        <v>686560</v>
      </c>
      <c r="G110" s="61">
        <f t="shared" si="45"/>
        <v>0</v>
      </c>
      <c r="H110" s="23">
        <f t="shared" si="45"/>
        <v>73231</v>
      </c>
      <c r="I110" s="61">
        <f t="shared" si="45"/>
        <v>0</v>
      </c>
      <c r="J110" s="23">
        <f t="shared" si="45"/>
        <v>0</v>
      </c>
      <c r="K110" s="61">
        <f t="shared" si="45"/>
        <v>0</v>
      </c>
      <c r="L110" s="108">
        <f t="shared" si="43"/>
        <v>2706734</v>
      </c>
    </row>
    <row r="111" spans="1:12" ht="29.25" customHeight="1">
      <c r="A111" s="16" t="s">
        <v>298</v>
      </c>
      <c r="B111" s="17" t="s">
        <v>518</v>
      </c>
      <c r="C111" s="109">
        <f t="shared" si="37"/>
        <v>1556339</v>
      </c>
      <c r="D111" s="15">
        <f>1341751+20081</f>
        <v>1361832</v>
      </c>
      <c r="E111" s="60">
        <v>0</v>
      </c>
      <c r="F111" s="15">
        <v>194507</v>
      </c>
      <c r="G111" s="60">
        <v>0</v>
      </c>
      <c r="H111" s="15">
        <v>0</v>
      </c>
      <c r="I111" s="60">
        <v>0</v>
      </c>
      <c r="J111" s="15">
        <v>0</v>
      </c>
      <c r="K111" s="60">
        <v>0</v>
      </c>
      <c r="L111" s="109">
        <f t="shared" si="43"/>
        <v>1556339</v>
      </c>
    </row>
    <row r="112" spans="1:12" ht="15">
      <c r="A112" s="16" t="s">
        <v>299</v>
      </c>
      <c r="B112" s="17" t="s">
        <v>519</v>
      </c>
      <c r="C112" s="109">
        <f t="shared" si="37"/>
        <v>1150395</v>
      </c>
      <c r="D112" s="15">
        <f>723613-129796-8706</f>
        <v>585111</v>
      </c>
      <c r="E112" s="60">
        <v>0</v>
      </c>
      <c r="F112" s="15">
        <f>335000+157053</f>
        <v>492053</v>
      </c>
      <c r="G112" s="60">
        <v>0</v>
      </c>
      <c r="H112" s="15">
        <v>73231</v>
      </c>
      <c r="I112" s="60">
        <v>0</v>
      </c>
      <c r="J112" s="15">
        <v>0</v>
      </c>
      <c r="K112" s="60">
        <v>0</v>
      </c>
      <c r="L112" s="109">
        <f t="shared" si="43"/>
        <v>1150395</v>
      </c>
    </row>
    <row r="113" spans="1:12" ht="15">
      <c r="A113" s="10" t="s">
        <v>300</v>
      </c>
      <c r="B113" s="11" t="s">
        <v>301</v>
      </c>
      <c r="C113" s="108">
        <f t="shared" si="37"/>
        <v>124202</v>
      </c>
      <c r="D113" s="23">
        <f>SUM(D114:D116)</f>
        <v>124202</v>
      </c>
      <c r="E113" s="61">
        <f aca="true" t="shared" si="46" ref="E113:K113">SUM(E114:E116)</f>
        <v>0</v>
      </c>
      <c r="F113" s="23">
        <f t="shared" si="46"/>
        <v>0</v>
      </c>
      <c r="G113" s="61">
        <f t="shared" si="46"/>
        <v>0</v>
      </c>
      <c r="H113" s="23">
        <f t="shared" si="46"/>
        <v>0</v>
      </c>
      <c r="I113" s="61">
        <f t="shared" si="46"/>
        <v>0</v>
      </c>
      <c r="J113" s="23">
        <f t="shared" si="46"/>
        <v>0</v>
      </c>
      <c r="K113" s="61">
        <f t="shared" si="46"/>
        <v>0</v>
      </c>
      <c r="L113" s="108">
        <f t="shared" si="43"/>
        <v>124202</v>
      </c>
    </row>
    <row r="114" spans="1:12" ht="25.5">
      <c r="A114" s="16" t="s">
        <v>302</v>
      </c>
      <c r="B114" s="17" t="s">
        <v>303</v>
      </c>
      <c r="C114" s="109">
        <f t="shared" si="37"/>
        <v>99888</v>
      </c>
      <c r="D114" s="15">
        <v>99888</v>
      </c>
      <c r="E114" s="60">
        <v>0</v>
      </c>
      <c r="F114" s="15">
        <v>0</v>
      </c>
      <c r="G114" s="60">
        <v>0</v>
      </c>
      <c r="H114" s="15">
        <v>0</v>
      </c>
      <c r="I114" s="60">
        <v>0</v>
      </c>
      <c r="J114" s="15">
        <v>0</v>
      </c>
      <c r="K114" s="60">
        <v>0</v>
      </c>
      <c r="L114" s="109">
        <f t="shared" si="43"/>
        <v>99888</v>
      </c>
    </row>
    <row r="115" spans="1:12" ht="25.5">
      <c r="A115" s="16" t="s">
        <v>304</v>
      </c>
      <c r="B115" s="17" t="s">
        <v>305</v>
      </c>
      <c r="C115" s="109">
        <f t="shared" si="37"/>
        <v>24314</v>
      </c>
      <c r="D115" s="18">
        <v>24314</v>
      </c>
      <c r="E115" s="60">
        <v>0</v>
      </c>
      <c r="F115" s="15">
        <v>0</v>
      </c>
      <c r="G115" s="60">
        <v>0</v>
      </c>
      <c r="H115" s="15">
        <v>0</v>
      </c>
      <c r="I115" s="60">
        <v>0</v>
      </c>
      <c r="J115" s="15">
        <v>0</v>
      </c>
      <c r="K115" s="60">
        <v>0</v>
      </c>
      <c r="L115" s="109">
        <f t="shared" si="43"/>
        <v>24314</v>
      </c>
    </row>
    <row r="116" spans="1:12" ht="15" hidden="1">
      <c r="A116" s="85" t="s">
        <v>501</v>
      </c>
      <c r="B116" s="86" t="s">
        <v>502</v>
      </c>
      <c r="C116" s="110">
        <f t="shared" si="37"/>
        <v>0</v>
      </c>
      <c r="D116" s="88"/>
      <c r="E116" s="89"/>
      <c r="F116" s="88"/>
      <c r="G116" s="89"/>
      <c r="H116" s="88"/>
      <c r="I116" s="89"/>
      <c r="J116" s="88"/>
      <c r="K116" s="89"/>
      <c r="L116" s="110">
        <f t="shared" si="43"/>
        <v>0</v>
      </c>
    </row>
    <row r="117" spans="1:12" ht="15">
      <c r="A117" s="10" t="s">
        <v>306</v>
      </c>
      <c r="B117" s="11" t="s">
        <v>307</v>
      </c>
      <c r="C117" s="108">
        <f t="shared" si="37"/>
        <v>976192</v>
      </c>
      <c r="D117" s="12">
        <f aca="true" t="shared" si="47" ref="D117:K117">SUM(D118:D119)</f>
        <v>960650</v>
      </c>
      <c r="E117" s="61">
        <f t="shared" si="47"/>
        <v>0</v>
      </c>
      <c r="F117" s="23">
        <f t="shared" si="47"/>
        <v>0</v>
      </c>
      <c r="G117" s="61">
        <f t="shared" si="47"/>
        <v>0</v>
      </c>
      <c r="H117" s="23">
        <f t="shared" si="47"/>
        <v>15542</v>
      </c>
      <c r="I117" s="61">
        <f t="shared" si="47"/>
        <v>0</v>
      </c>
      <c r="J117" s="12">
        <f t="shared" si="47"/>
        <v>0</v>
      </c>
      <c r="K117" s="59">
        <f t="shared" si="47"/>
        <v>0</v>
      </c>
      <c r="L117" s="108">
        <f t="shared" si="43"/>
        <v>976192</v>
      </c>
    </row>
    <row r="118" spans="1:12" ht="25.5">
      <c r="A118" s="16" t="s">
        <v>308</v>
      </c>
      <c r="B118" s="17" t="s">
        <v>309</v>
      </c>
      <c r="C118" s="109">
        <f t="shared" si="37"/>
        <v>514648</v>
      </c>
      <c r="D118" s="18">
        <v>499106</v>
      </c>
      <c r="E118" s="60">
        <v>0</v>
      </c>
      <c r="F118" s="15">
        <v>0</v>
      </c>
      <c r="G118" s="60">
        <v>0</v>
      </c>
      <c r="H118" s="15">
        <v>15542</v>
      </c>
      <c r="I118" s="60">
        <v>0</v>
      </c>
      <c r="J118" s="15">
        <v>0</v>
      </c>
      <c r="K118" s="60">
        <v>0</v>
      </c>
      <c r="L118" s="109">
        <f t="shared" si="43"/>
        <v>514648</v>
      </c>
    </row>
    <row r="119" spans="1:12" ht="15">
      <c r="A119" s="16" t="s">
        <v>310</v>
      </c>
      <c r="B119" s="17" t="s">
        <v>311</v>
      </c>
      <c r="C119" s="109">
        <f t="shared" si="37"/>
        <v>461544</v>
      </c>
      <c r="D119" s="18">
        <v>461544</v>
      </c>
      <c r="E119" s="60">
        <v>0</v>
      </c>
      <c r="F119" s="15">
        <v>0</v>
      </c>
      <c r="G119" s="60">
        <v>0</v>
      </c>
      <c r="H119" s="15">
        <v>0</v>
      </c>
      <c r="I119" s="60">
        <v>0</v>
      </c>
      <c r="J119" s="15">
        <v>0</v>
      </c>
      <c r="K119" s="60">
        <v>0</v>
      </c>
      <c r="L119" s="109">
        <f t="shared" si="43"/>
        <v>461544</v>
      </c>
    </row>
    <row r="120" spans="1:12" ht="25.5">
      <c r="A120" s="10" t="s">
        <v>312</v>
      </c>
      <c r="B120" s="11" t="s">
        <v>313</v>
      </c>
      <c r="C120" s="108">
        <f t="shared" si="37"/>
        <v>257612</v>
      </c>
      <c r="D120" s="12">
        <f>SUM(D121:D124)</f>
        <v>257612</v>
      </c>
      <c r="E120" s="61">
        <f aca="true" t="shared" si="48" ref="E120:K120">SUM(E121:E124)</f>
        <v>0</v>
      </c>
      <c r="F120" s="23">
        <f t="shared" si="48"/>
        <v>0</v>
      </c>
      <c r="G120" s="61">
        <f t="shared" si="48"/>
        <v>0</v>
      </c>
      <c r="H120" s="23">
        <f t="shared" si="48"/>
        <v>0</v>
      </c>
      <c r="I120" s="61">
        <f t="shared" si="48"/>
        <v>0</v>
      </c>
      <c r="J120" s="23">
        <f t="shared" si="48"/>
        <v>0</v>
      </c>
      <c r="K120" s="59">
        <f t="shared" si="48"/>
        <v>0</v>
      </c>
      <c r="L120" s="108">
        <f t="shared" si="43"/>
        <v>257612</v>
      </c>
    </row>
    <row r="121" spans="1:12" ht="15">
      <c r="A121" s="16" t="s">
        <v>314</v>
      </c>
      <c r="B121" s="17" t="s">
        <v>315</v>
      </c>
      <c r="C121" s="109">
        <f t="shared" si="37"/>
        <v>105000</v>
      </c>
      <c r="D121" s="18">
        <f>102000+1000+2000</f>
        <v>105000</v>
      </c>
      <c r="E121" s="60">
        <v>0</v>
      </c>
      <c r="F121" s="15">
        <v>0</v>
      </c>
      <c r="G121" s="60">
        <v>0</v>
      </c>
      <c r="H121" s="15">
        <v>0</v>
      </c>
      <c r="I121" s="60">
        <v>0</v>
      </c>
      <c r="J121" s="15">
        <v>0</v>
      </c>
      <c r="K121" s="60">
        <v>0</v>
      </c>
      <c r="L121" s="109">
        <f t="shared" si="43"/>
        <v>105000</v>
      </c>
    </row>
    <row r="122" spans="1:12" ht="25.5">
      <c r="A122" s="16" t="s">
        <v>316</v>
      </c>
      <c r="B122" s="17" t="s">
        <v>317</v>
      </c>
      <c r="C122" s="109">
        <f t="shared" si="37"/>
        <v>41709</v>
      </c>
      <c r="D122" s="18">
        <v>41709</v>
      </c>
      <c r="E122" s="60">
        <v>0</v>
      </c>
      <c r="F122" s="15">
        <v>0</v>
      </c>
      <c r="G122" s="60">
        <v>0</v>
      </c>
      <c r="H122" s="15">
        <v>0</v>
      </c>
      <c r="I122" s="60">
        <v>0</v>
      </c>
      <c r="J122" s="15">
        <v>0</v>
      </c>
      <c r="K122" s="60">
        <v>0</v>
      </c>
      <c r="L122" s="109">
        <f t="shared" si="43"/>
        <v>41709</v>
      </c>
    </row>
    <row r="123" spans="1:12" ht="25.5">
      <c r="A123" s="16" t="s">
        <v>318</v>
      </c>
      <c r="B123" s="17" t="s">
        <v>319</v>
      </c>
      <c r="C123" s="109">
        <f t="shared" si="37"/>
        <v>3000</v>
      </c>
      <c r="D123" s="15">
        <v>3000</v>
      </c>
      <c r="E123" s="60">
        <v>0</v>
      </c>
      <c r="F123" s="15">
        <v>0</v>
      </c>
      <c r="G123" s="60">
        <v>0</v>
      </c>
      <c r="H123" s="15">
        <v>0</v>
      </c>
      <c r="I123" s="60">
        <v>0</v>
      </c>
      <c r="J123" s="15">
        <v>0</v>
      </c>
      <c r="K123" s="60">
        <v>0</v>
      </c>
      <c r="L123" s="109">
        <f t="shared" si="43"/>
        <v>3000</v>
      </c>
    </row>
    <row r="124" spans="1:12" ht="25.5">
      <c r="A124" s="16" t="s">
        <v>320</v>
      </c>
      <c r="B124" s="17" t="s">
        <v>321</v>
      </c>
      <c r="C124" s="109">
        <f t="shared" si="37"/>
        <v>107903</v>
      </c>
      <c r="D124" s="15">
        <f>107517+386</f>
        <v>107903</v>
      </c>
      <c r="E124" s="60">
        <v>0</v>
      </c>
      <c r="F124" s="15">
        <v>0</v>
      </c>
      <c r="G124" s="60">
        <v>0</v>
      </c>
      <c r="H124" s="15">
        <v>0</v>
      </c>
      <c r="I124" s="60">
        <v>0</v>
      </c>
      <c r="J124" s="15">
        <v>0</v>
      </c>
      <c r="K124" s="60">
        <v>0</v>
      </c>
      <c r="L124" s="109">
        <f t="shared" si="43"/>
        <v>107903</v>
      </c>
    </row>
    <row r="125" spans="1:12" ht="30.75" customHeight="1">
      <c r="A125" s="116" t="s">
        <v>479</v>
      </c>
      <c r="B125" s="11" t="s">
        <v>480</v>
      </c>
      <c r="C125" s="108">
        <f t="shared" si="37"/>
        <v>521502</v>
      </c>
      <c r="D125" s="23">
        <f>D126</f>
        <v>521382</v>
      </c>
      <c r="E125" s="61">
        <f aca="true" t="shared" si="49" ref="E125:K125">E126</f>
        <v>0</v>
      </c>
      <c r="F125" s="23">
        <f t="shared" si="49"/>
        <v>120</v>
      </c>
      <c r="G125" s="61">
        <f t="shared" si="49"/>
        <v>0</v>
      </c>
      <c r="H125" s="23">
        <f t="shared" si="49"/>
        <v>0</v>
      </c>
      <c r="I125" s="61">
        <f t="shared" si="49"/>
        <v>55450</v>
      </c>
      <c r="J125" s="23">
        <f t="shared" si="49"/>
        <v>0</v>
      </c>
      <c r="K125" s="61">
        <f t="shared" si="49"/>
        <v>0</v>
      </c>
      <c r="L125" s="108">
        <f t="shared" si="43"/>
        <v>576952</v>
      </c>
    </row>
    <row r="126" spans="1:12" ht="25.5">
      <c r="A126" s="117" t="s">
        <v>481</v>
      </c>
      <c r="B126" s="17" t="s">
        <v>520</v>
      </c>
      <c r="C126" s="109">
        <f t="shared" si="37"/>
        <v>521502</v>
      </c>
      <c r="D126" s="15">
        <f>505659+15723</f>
        <v>521382</v>
      </c>
      <c r="E126" s="60">
        <v>0</v>
      </c>
      <c r="F126" s="15">
        <v>120</v>
      </c>
      <c r="G126" s="60">
        <v>0</v>
      </c>
      <c r="H126" s="15">
        <v>0</v>
      </c>
      <c r="I126" s="60">
        <v>55450</v>
      </c>
      <c r="J126" s="15">
        <v>0</v>
      </c>
      <c r="K126" s="60">
        <v>0</v>
      </c>
      <c r="L126" s="109">
        <f t="shared" si="43"/>
        <v>576952</v>
      </c>
    </row>
    <row r="127" spans="1:12" s="2" customFormat="1" ht="15">
      <c r="A127" s="55" t="s">
        <v>22</v>
      </c>
      <c r="B127" s="56" t="s">
        <v>164</v>
      </c>
      <c r="C127" s="9">
        <f t="shared" si="37"/>
        <v>52783736</v>
      </c>
      <c r="D127" s="57">
        <f aca="true" t="shared" si="50" ref="D127:K127">D128+D131+D143+D159+D167</f>
        <v>35998541</v>
      </c>
      <c r="E127" s="58">
        <f t="shared" si="50"/>
        <v>0</v>
      </c>
      <c r="F127" s="57">
        <f t="shared" si="50"/>
        <v>1052023</v>
      </c>
      <c r="G127" s="58">
        <f t="shared" si="50"/>
        <v>0</v>
      </c>
      <c r="H127" s="57">
        <f t="shared" si="50"/>
        <v>15733172</v>
      </c>
      <c r="I127" s="58">
        <f t="shared" si="50"/>
        <v>0</v>
      </c>
      <c r="J127" s="57">
        <f t="shared" si="50"/>
        <v>0</v>
      </c>
      <c r="K127" s="58">
        <f t="shared" si="50"/>
        <v>0</v>
      </c>
      <c r="L127" s="9">
        <f t="shared" si="43"/>
        <v>52783736</v>
      </c>
    </row>
    <row r="128" spans="1:12" ht="15">
      <c r="A128" s="10" t="s">
        <v>322</v>
      </c>
      <c r="B128" s="11" t="s">
        <v>323</v>
      </c>
      <c r="C128" s="108">
        <f t="shared" si="37"/>
        <v>12401829</v>
      </c>
      <c r="D128" s="12">
        <f>SUM(D129:D130)</f>
        <v>11144269</v>
      </c>
      <c r="E128" s="59">
        <f aca="true" t="shared" si="51" ref="E128:K128">SUM(E129:E130)</f>
        <v>0</v>
      </c>
      <c r="F128" s="12">
        <f t="shared" si="51"/>
        <v>155295</v>
      </c>
      <c r="G128" s="59">
        <f t="shared" si="51"/>
        <v>0</v>
      </c>
      <c r="H128" s="12">
        <f t="shared" si="51"/>
        <v>1102265</v>
      </c>
      <c r="I128" s="59">
        <f t="shared" si="51"/>
        <v>0</v>
      </c>
      <c r="J128" s="12">
        <f t="shared" si="51"/>
        <v>0</v>
      </c>
      <c r="K128" s="59">
        <f t="shared" si="51"/>
        <v>0</v>
      </c>
      <c r="L128" s="108">
        <f t="shared" si="43"/>
        <v>12401829</v>
      </c>
    </row>
    <row r="129" spans="1:12" ht="51">
      <c r="A129" s="16" t="s">
        <v>324</v>
      </c>
      <c r="B129" s="17" t="s">
        <v>521</v>
      </c>
      <c r="C129" s="109">
        <f t="shared" si="37"/>
        <v>12269005</v>
      </c>
      <c r="D129" s="15">
        <f>9884471-17758+1144732</f>
        <v>11011445</v>
      </c>
      <c r="E129" s="60">
        <v>0</v>
      </c>
      <c r="F129" s="15">
        <f>136581+18714</f>
        <v>155295</v>
      </c>
      <c r="G129" s="60">
        <v>0</v>
      </c>
      <c r="H129" s="15">
        <f>1086136+16129</f>
        <v>1102265</v>
      </c>
      <c r="I129" s="60">
        <v>0</v>
      </c>
      <c r="J129" s="15">
        <v>0</v>
      </c>
      <c r="K129" s="60">
        <v>0</v>
      </c>
      <c r="L129" s="109">
        <f t="shared" si="43"/>
        <v>12269005</v>
      </c>
    </row>
    <row r="130" spans="1:12" ht="38.25">
      <c r="A130" s="118" t="s">
        <v>325</v>
      </c>
      <c r="B130" s="14" t="s">
        <v>326</v>
      </c>
      <c r="C130" s="109">
        <f t="shared" si="37"/>
        <v>132824</v>
      </c>
      <c r="D130" s="15">
        <f>156527-23703</f>
        <v>132824</v>
      </c>
      <c r="E130" s="60">
        <v>0</v>
      </c>
      <c r="F130" s="15">
        <v>0</v>
      </c>
      <c r="G130" s="60">
        <v>0</v>
      </c>
      <c r="H130" s="15">
        <v>0</v>
      </c>
      <c r="I130" s="60">
        <v>0</v>
      </c>
      <c r="J130" s="15">
        <v>0</v>
      </c>
      <c r="K130" s="60">
        <v>0</v>
      </c>
      <c r="L130" s="109">
        <f t="shared" si="43"/>
        <v>132824</v>
      </c>
    </row>
    <row r="131" spans="1:12" ht="25.5">
      <c r="A131" s="21" t="s">
        <v>327</v>
      </c>
      <c r="B131" s="22" t="s">
        <v>328</v>
      </c>
      <c r="C131" s="108">
        <f t="shared" si="37"/>
        <v>26956513</v>
      </c>
      <c r="D131" s="23">
        <f>D132+D140</f>
        <v>15431007</v>
      </c>
      <c r="E131" s="61">
        <f aca="true" t="shared" si="52" ref="E131:K131">E132+E140</f>
        <v>0</v>
      </c>
      <c r="F131" s="23">
        <f t="shared" si="52"/>
        <v>326106</v>
      </c>
      <c r="G131" s="61">
        <f t="shared" si="52"/>
        <v>0</v>
      </c>
      <c r="H131" s="23">
        <f t="shared" si="52"/>
        <v>11199400</v>
      </c>
      <c r="I131" s="61">
        <f t="shared" si="52"/>
        <v>0</v>
      </c>
      <c r="J131" s="23">
        <f t="shared" si="52"/>
        <v>0</v>
      </c>
      <c r="K131" s="61">
        <f t="shared" si="52"/>
        <v>0</v>
      </c>
      <c r="L131" s="108">
        <f t="shared" si="43"/>
        <v>26956513</v>
      </c>
    </row>
    <row r="132" spans="1:12" ht="15">
      <c r="A132" s="119" t="s">
        <v>329</v>
      </c>
      <c r="B132" s="11" t="s">
        <v>330</v>
      </c>
      <c r="C132" s="108">
        <f t="shared" si="37"/>
        <v>25443806</v>
      </c>
      <c r="D132" s="12">
        <f>SUM(D133:D139)</f>
        <v>14868469</v>
      </c>
      <c r="E132" s="59">
        <f aca="true" t="shared" si="53" ref="E132:K132">SUM(E133:E139)</f>
        <v>0</v>
      </c>
      <c r="F132" s="12">
        <f t="shared" si="53"/>
        <v>247528</v>
      </c>
      <c r="G132" s="59">
        <f t="shared" si="53"/>
        <v>0</v>
      </c>
      <c r="H132" s="12">
        <f t="shared" si="53"/>
        <v>10327809</v>
      </c>
      <c r="I132" s="59">
        <f t="shared" si="53"/>
        <v>0</v>
      </c>
      <c r="J132" s="12">
        <f t="shared" si="53"/>
        <v>0</v>
      </c>
      <c r="K132" s="59">
        <f t="shared" si="53"/>
        <v>0</v>
      </c>
      <c r="L132" s="108">
        <f t="shared" si="43"/>
        <v>25443806</v>
      </c>
    </row>
    <row r="133" spans="1:12" ht="25.5">
      <c r="A133" s="16" t="s">
        <v>331</v>
      </c>
      <c r="B133" s="17" t="s">
        <v>332</v>
      </c>
      <c r="C133" s="109">
        <f aca="true" t="shared" si="54" ref="C133:C139">D133+F133+H133+J133</f>
        <v>14856125</v>
      </c>
      <c r="D133" s="15">
        <f>5969339+432704</f>
        <v>6402043</v>
      </c>
      <c r="E133" s="60">
        <v>0</v>
      </c>
      <c r="F133" s="15">
        <f>167332+31100+5295</f>
        <v>203727</v>
      </c>
      <c r="G133" s="60">
        <v>0</v>
      </c>
      <c r="H133" s="15">
        <f>8202578+37728+10049</f>
        <v>8250355</v>
      </c>
      <c r="I133" s="60">
        <v>0</v>
      </c>
      <c r="J133" s="15">
        <v>0</v>
      </c>
      <c r="K133" s="60">
        <v>0</v>
      </c>
      <c r="L133" s="109">
        <f aca="true" t="shared" si="55" ref="L133:L139">SUM(D133:K133)</f>
        <v>14856125</v>
      </c>
    </row>
    <row r="134" spans="1:12" ht="25.5">
      <c r="A134" s="16" t="s">
        <v>333</v>
      </c>
      <c r="B134" s="17" t="s">
        <v>522</v>
      </c>
      <c r="C134" s="109">
        <f t="shared" si="54"/>
        <v>2334285</v>
      </c>
      <c r="D134" s="15">
        <f>586645+333619</f>
        <v>920264</v>
      </c>
      <c r="E134" s="60">
        <v>0</v>
      </c>
      <c r="F134" s="15">
        <f>22613+8952+316</f>
        <v>31881</v>
      </c>
      <c r="G134" s="60">
        <v>0</v>
      </c>
      <c r="H134" s="15">
        <f>1372837+6103+3200</f>
        <v>1382140</v>
      </c>
      <c r="I134" s="60">
        <v>0</v>
      </c>
      <c r="J134" s="15">
        <v>0</v>
      </c>
      <c r="K134" s="60">
        <v>0</v>
      </c>
      <c r="L134" s="109">
        <f t="shared" si="55"/>
        <v>2334285</v>
      </c>
    </row>
    <row r="135" spans="1:12" ht="25.5">
      <c r="A135" s="16" t="s">
        <v>334</v>
      </c>
      <c r="B135" s="17" t="s">
        <v>335</v>
      </c>
      <c r="C135" s="109">
        <f t="shared" si="54"/>
        <v>294343</v>
      </c>
      <c r="D135" s="18">
        <f>40512+392</f>
        <v>40904</v>
      </c>
      <c r="E135" s="60">
        <v>0</v>
      </c>
      <c r="F135" s="15">
        <f>3400+8520</f>
        <v>11920</v>
      </c>
      <c r="G135" s="60">
        <v>0</v>
      </c>
      <c r="H135" s="15">
        <f>158327+3195+79997</f>
        <v>241519</v>
      </c>
      <c r="I135" s="60">
        <v>0</v>
      </c>
      <c r="J135" s="15">
        <v>0</v>
      </c>
      <c r="K135" s="60">
        <v>0</v>
      </c>
      <c r="L135" s="109">
        <f t="shared" si="55"/>
        <v>294343</v>
      </c>
    </row>
    <row r="136" spans="1:12" ht="46.5" customHeight="1">
      <c r="A136" s="16" t="s">
        <v>336</v>
      </c>
      <c r="B136" s="17" t="s">
        <v>337</v>
      </c>
      <c r="C136" s="109">
        <f t="shared" si="54"/>
        <v>4500378</v>
      </c>
      <c r="D136" s="18">
        <f>4374338+519983-405000</f>
        <v>4489321</v>
      </c>
      <c r="E136" s="60">
        <v>0</v>
      </c>
      <c r="F136" s="15">
        <v>0</v>
      </c>
      <c r="G136" s="60">
        <v>0</v>
      </c>
      <c r="H136" s="15">
        <v>11057</v>
      </c>
      <c r="I136" s="60">
        <v>0</v>
      </c>
      <c r="J136" s="15">
        <v>0</v>
      </c>
      <c r="K136" s="60">
        <v>0</v>
      </c>
      <c r="L136" s="109">
        <f t="shared" si="55"/>
        <v>4500378</v>
      </c>
    </row>
    <row r="137" spans="1:12" ht="51">
      <c r="A137" s="13" t="s">
        <v>338</v>
      </c>
      <c r="B137" s="14" t="s">
        <v>339</v>
      </c>
      <c r="C137" s="109">
        <f t="shared" si="54"/>
        <v>1084224</v>
      </c>
      <c r="D137" s="15">
        <f>956635+157724-100333</f>
        <v>1014026</v>
      </c>
      <c r="E137" s="60">
        <v>0</v>
      </c>
      <c r="F137" s="15">
        <v>0</v>
      </c>
      <c r="G137" s="60">
        <v>0</v>
      </c>
      <c r="H137" s="15">
        <v>70198</v>
      </c>
      <c r="I137" s="60">
        <v>0</v>
      </c>
      <c r="J137" s="15">
        <v>0</v>
      </c>
      <c r="K137" s="60">
        <v>0</v>
      </c>
      <c r="L137" s="109">
        <f t="shared" si="55"/>
        <v>1084224</v>
      </c>
    </row>
    <row r="138" spans="1:12" ht="51">
      <c r="A138" s="13" t="s">
        <v>485</v>
      </c>
      <c r="B138" s="14" t="s">
        <v>486</v>
      </c>
      <c r="C138" s="109">
        <f t="shared" si="54"/>
        <v>1074451</v>
      </c>
      <c r="D138" s="15">
        <f>579791+122120</f>
        <v>701911</v>
      </c>
      <c r="E138" s="60">
        <v>0</v>
      </c>
      <c r="F138" s="15">
        <v>0</v>
      </c>
      <c r="G138" s="60">
        <v>0</v>
      </c>
      <c r="H138" s="15">
        <v>372540</v>
      </c>
      <c r="I138" s="60">
        <v>0</v>
      </c>
      <c r="J138" s="15">
        <v>0</v>
      </c>
      <c r="K138" s="60">
        <v>0</v>
      </c>
      <c r="L138" s="109">
        <f t="shared" si="55"/>
        <v>1074451</v>
      </c>
    </row>
    <row r="139" spans="1:12" ht="51">
      <c r="A139" s="13" t="s">
        <v>795</v>
      </c>
      <c r="B139" s="14" t="s">
        <v>796</v>
      </c>
      <c r="C139" s="109">
        <f t="shared" si="54"/>
        <v>1300000</v>
      </c>
      <c r="D139" s="15">
        <f>1300000</f>
        <v>1300000</v>
      </c>
      <c r="E139" s="60">
        <v>0</v>
      </c>
      <c r="F139" s="15">
        <v>0</v>
      </c>
      <c r="G139" s="60">
        <v>0</v>
      </c>
      <c r="H139" s="15">
        <v>0</v>
      </c>
      <c r="I139" s="60">
        <v>0</v>
      </c>
      <c r="J139" s="15">
        <v>0</v>
      </c>
      <c r="K139" s="60">
        <v>0</v>
      </c>
      <c r="L139" s="109">
        <f t="shared" si="55"/>
        <v>1300000</v>
      </c>
    </row>
    <row r="140" spans="1:12" ht="15">
      <c r="A140" s="119" t="s">
        <v>340</v>
      </c>
      <c r="B140" s="11" t="s">
        <v>341</v>
      </c>
      <c r="C140" s="108">
        <f aca="true" t="shared" si="56" ref="C140:C176">D140+F140+H140+J140</f>
        <v>1512707</v>
      </c>
      <c r="D140" s="12">
        <f aca="true" t="shared" si="57" ref="D140:K140">SUM(D141:D142)</f>
        <v>562538</v>
      </c>
      <c r="E140" s="61">
        <f t="shared" si="57"/>
        <v>0</v>
      </c>
      <c r="F140" s="23">
        <f t="shared" si="57"/>
        <v>78578</v>
      </c>
      <c r="G140" s="61">
        <f t="shared" si="57"/>
        <v>0</v>
      </c>
      <c r="H140" s="23">
        <f t="shared" si="57"/>
        <v>871591</v>
      </c>
      <c r="I140" s="61">
        <f t="shared" si="57"/>
        <v>0</v>
      </c>
      <c r="J140" s="23">
        <f t="shared" si="57"/>
        <v>0</v>
      </c>
      <c r="K140" s="61">
        <f t="shared" si="57"/>
        <v>0</v>
      </c>
      <c r="L140" s="108">
        <f aca="true" t="shared" si="58" ref="L140:L176">SUM(D140:K140)</f>
        <v>1512707</v>
      </c>
    </row>
    <row r="141" spans="1:12" ht="25.5">
      <c r="A141" s="16" t="s">
        <v>342</v>
      </c>
      <c r="B141" s="17" t="s">
        <v>343</v>
      </c>
      <c r="C141" s="109">
        <f t="shared" si="56"/>
        <v>1312065</v>
      </c>
      <c r="D141" s="18">
        <f>546186+1644</f>
        <v>547830</v>
      </c>
      <c r="E141" s="60">
        <v>0</v>
      </c>
      <c r="F141" s="15">
        <f>26657+4000</f>
        <v>30657</v>
      </c>
      <c r="G141" s="60">
        <v>0</v>
      </c>
      <c r="H141" s="15">
        <f>729108+4470</f>
        <v>733578</v>
      </c>
      <c r="I141" s="60">
        <v>0</v>
      </c>
      <c r="J141" s="15">
        <v>0</v>
      </c>
      <c r="K141" s="60">
        <v>0</v>
      </c>
      <c r="L141" s="109">
        <f t="shared" si="58"/>
        <v>1312065</v>
      </c>
    </row>
    <row r="142" spans="1:12" ht="25.5">
      <c r="A142" s="16" t="s">
        <v>344</v>
      </c>
      <c r="B142" s="17" t="s">
        <v>345</v>
      </c>
      <c r="C142" s="109">
        <f t="shared" si="56"/>
        <v>200642</v>
      </c>
      <c r="D142" s="18">
        <f>30961-16253</f>
        <v>14708</v>
      </c>
      <c r="E142" s="60">
        <v>0</v>
      </c>
      <c r="F142" s="15">
        <f>21748+16253+9920</f>
        <v>47921</v>
      </c>
      <c r="G142" s="60">
        <v>0</v>
      </c>
      <c r="H142" s="15">
        <v>138013</v>
      </c>
      <c r="I142" s="60">
        <v>0</v>
      </c>
      <c r="J142" s="15">
        <v>0</v>
      </c>
      <c r="K142" s="60">
        <v>0</v>
      </c>
      <c r="L142" s="109">
        <f t="shared" si="58"/>
        <v>200642</v>
      </c>
    </row>
    <row r="143" spans="1:12" ht="15">
      <c r="A143" s="119" t="s">
        <v>32</v>
      </c>
      <c r="B143" s="11" t="s">
        <v>536</v>
      </c>
      <c r="C143" s="109">
        <f>D143+F143+H143+J143</f>
        <v>10403615</v>
      </c>
      <c r="D143" s="12">
        <f aca="true" t="shared" si="59" ref="D143:K143">D144+D150+D153</f>
        <v>7430788</v>
      </c>
      <c r="E143" s="59">
        <f t="shared" si="59"/>
        <v>0</v>
      </c>
      <c r="F143" s="12">
        <f t="shared" si="59"/>
        <v>482090</v>
      </c>
      <c r="G143" s="59">
        <f t="shared" si="59"/>
        <v>0</v>
      </c>
      <c r="H143" s="12">
        <f t="shared" si="59"/>
        <v>2490737</v>
      </c>
      <c r="I143" s="59">
        <f t="shared" si="59"/>
        <v>0</v>
      </c>
      <c r="J143" s="12">
        <f t="shared" si="59"/>
        <v>0</v>
      </c>
      <c r="K143" s="59">
        <f t="shared" si="59"/>
        <v>0</v>
      </c>
      <c r="L143" s="109">
        <f t="shared" si="58"/>
        <v>10403615</v>
      </c>
    </row>
    <row r="144" spans="1:12" ht="25.5">
      <c r="A144" s="10" t="s">
        <v>346</v>
      </c>
      <c r="B144" s="11" t="s">
        <v>347</v>
      </c>
      <c r="C144" s="108">
        <f t="shared" si="56"/>
        <v>8344327</v>
      </c>
      <c r="D144" s="12">
        <f aca="true" t="shared" si="60" ref="D144:J144">SUM(D145:D149)</f>
        <v>6095889</v>
      </c>
      <c r="E144" s="61">
        <f t="shared" si="60"/>
        <v>0</v>
      </c>
      <c r="F144" s="23">
        <f t="shared" si="60"/>
        <v>215007</v>
      </c>
      <c r="G144" s="61">
        <f t="shared" si="60"/>
        <v>0</v>
      </c>
      <c r="H144" s="23">
        <f>SUM(H145:H149)</f>
        <v>2033431</v>
      </c>
      <c r="I144" s="61">
        <f t="shared" si="60"/>
        <v>0</v>
      </c>
      <c r="J144" s="23">
        <f t="shared" si="60"/>
        <v>0</v>
      </c>
      <c r="K144" s="61">
        <f>SUM(K145:K149)</f>
        <v>0</v>
      </c>
      <c r="L144" s="108">
        <f t="shared" si="58"/>
        <v>8344327</v>
      </c>
    </row>
    <row r="145" spans="1:12" ht="38.25">
      <c r="A145" s="16" t="s">
        <v>34</v>
      </c>
      <c r="B145" s="17" t="s">
        <v>466</v>
      </c>
      <c r="C145" s="109">
        <f t="shared" si="56"/>
        <v>1170899</v>
      </c>
      <c r="D145" s="18">
        <f>522281-1644</f>
        <v>520637</v>
      </c>
      <c r="E145" s="60">
        <v>0</v>
      </c>
      <c r="F145" s="15">
        <f>62910+39855+3358</f>
        <v>106123</v>
      </c>
      <c r="G145" s="60">
        <v>0</v>
      </c>
      <c r="H145" s="15">
        <v>544139</v>
      </c>
      <c r="I145" s="60">
        <v>0</v>
      </c>
      <c r="J145" s="15">
        <v>0</v>
      </c>
      <c r="K145" s="60">
        <v>0</v>
      </c>
      <c r="L145" s="109">
        <f t="shared" si="58"/>
        <v>1170899</v>
      </c>
    </row>
    <row r="146" spans="1:12" ht="25.5">
      <c r="A146" s="16" t="s">
        <v>36</v>
      </c>
      <c r="B146" s="17" t="s">
        <v>348</v>
      </c>
      <c r="C146" s="109">
        <f t="shared" si="56"/>
        <v>298851</v>
      </c>
      <c r="D146" s="18">
        <v>153665</v>
      </c>
      <c r="E146" s="60">
        <v>0</v>
      </c>
      <c r="F146" s="15">
        <v>21401</v>
      </c>
      <c r="G146" s="60">
        <v>0</v>
      </c>
      <c r="H146" s="15">
        <v>123785</v>
      </c>
      <c r="I146" s="60">
        <v>0</v>
      </c>
      <c r="J146" s="15">
        <v>0</v>
      </c>
      <c r="K146" s="60">
        <v>0</v>
      </c>
      <c r="L146" s="109">
        <f t="shared" si="58"/>
        <v>298851</v>
      </c>
    </row>
    <row r="147" spans="1:12" ht="25.5">
      <c r="A147" s="16" t="s">
        <v>349</v>
      </c>
      <c r="B147" s="17" t="s">
        <v>350</v>
      </c>
      <c r="C147" s="109">
        <f t="shared" si="56"/>
        <v>3122331</v>
      </c>
      <c r="D147" s="18">
        <v>2369341</v>
      </c>
      <c r="E147" s="60">
        <v>0</v>
      </c>
      <c r="F147" s="15">
        <f>86759+724</f>
        <v>87483</v>
      </c>
      <c r="G147" s="60">
        <v>0</v>
      </c>
      <c r="H147" s="15">
        <v>665507</v>
      </c>
      <c r="I147" s="60">
        <v>0</v>
      </c>
      <c r="J147" s="15">
        <v>0</v>
      </c>
      <c r="K147" s="60">
        <v>0</v>
      </c>
      <c r="L147" s="109">
        <f t="shared" si="58"/>
        <v>3122331</v>
      </c>
    </row>
    <row r="148" spans="1:12" ht="76.5">
      <c r="A148" s="13" t="s">
        <v>442</v>
      </c>
      <c r="B148" s="14" t="s">
        <v>467</v>
      </c>
      <c r="C148" s="109">
        <f t="shared" si="56"/>
        <v>498613</v>
      </c>
      <c r="D148" s="15">
        <f>506613-8000</f>
        <v>498613</v>
      </c>
      <c r="E148" s="60">
        <v>0</v>
      </c>
      <c r="F148" s="15">
        <v>0</v>
      </c>
      <c r="G148" s="60">
        <v>0</v>
      </c>
      <c r="H148" s="15">
        <v>0</v>
      </c>
      <c r="I148" s="60">
        <v>0</v>
      </c>
      <c r="J148" s="15">
        <v>0</v>
      </c>
      <c r="K148" s="60">
        <v>0</v>
      </c>
      <c r="L148" s="109">
        <f t="shared" si="58"/>
        <v>498613</v>
      </c>
    </row>
    <row r="149" spans="1:12" ht="38.25">
      <c r="A149" s="13" t="s">
        <v>489</v>
      </c>
      <c r="B149" s="14" t="s">
        <v>490</v>
      </c>
      <c r="C149" s="109">
        <f t="shared" si="56"/>
        <v>3253633</v>
      </c>
      <c r="D149" s="15">
        <f>1313633+1240000</f>
        <v>2553633</v>
      </c>
      <c r="E149" s="60">
        <v>0</v>
      </c>
      <c r="F149" s="15">
        <v>0</v>
      </c>
      <c r="G149" s="60">
        <v>0</v>
      </c>
      <c r="H149" s="15">
        <f>2000000-1300000</f>
        <v>700000</v>
      </c>
      <c r="I149" s="60">
        <v>0</v>
      </c>
      <c r="J149" s="15">
        <v>0</v>
      </c>
      <c r="K149" s="60">
        <v>0</v>
      </c>
      <c r="L149" s="109">
        <f t="shared" si="58"/>
        <v>3253633</v>
      </c>
    </row>
    <row r="150" spans="1:12" ht="51">
      <c r="A150" s="10" t="s">
        <v>351</v>
      </c>
      <c r="B150" s="11" t="s">
        <v>352</v>
      </c>
      <c r="C150" s="108">
        <f t="shared" si="56"/>
        <v>43000</v>
      </c>
      <c r="D150" s="12">
        <f>SUM(D151:D152)</f>
        <v>43000</v>
      </c>
      <c r="E150" s="61">
        <f aca="true" t="shared" si="61" ref="E150:K150">SUM(E151:E152)</f>
        <v>0</v>
      </c>
      <c r="F150" s="23">
        <f t="shared" si="61"/>
        <v>0</v>
      </c>
      <c r="G150" s="61">
        <f t="shared" si="61"/>
        <v>0</v>
      </c>
      <c r="H150" s="23">
        <f t="shared" si="61"/>
        <v>0</v>
      </c>
      <c r="I150" s="61">
        <f t="shared" si="61"/>
        <v>0</v>
      </c>
      <c r="J150" s="23">
        <f t="shared" si="61"/>
        <v>0</v>
      </c>
      <c r="K150" s="61">
        <f t="shared" si="61"/>
        <v>0</v>
      </c>
      <c r="L150" s="108">
        <f t="shared" si="58"/>
        <v>43000</v>
      </c>
    </row>
    <row r="151" spans="1:12" ht="25.5">
      <c r="A151" s="16" t="s">
        <v>44</v>
      </c>
      <c r="B151" s="17" t="s">
        <v>353</v>
      </c>
      <c r="C151" s="109">
        <f t="shared" si="56"/>
        <v>40000</v>
      </c>
      <c r="D151" s="18">
        <v>40000</v>
      </c>
      <c r="E151" s="60">
        <v>0</v>
      </c>
      <c r="F151" s="15">
        <v>0</v>
      </c>
      <c r="G151" s="60">
        <v>0</v>
      </c>
      <c r="H151" s="15">
        <v>0</v>
      </c>
      <c r="I151" s="60">
        <v>0</v>
      </c>
      <c r="J151" s="15">
        <v>0</v>
      </c>
      <c r="K151" s="60">
        <v>0</v>
      </c>
      <c r="L151" s="109">
        <f t="shared" si="58"/>
        <v>40000</v>
      </c>
    </row>
    <row r="152" spans="1:12" ht="16.5" customHeight="1">
      <c r="A152" s="16" t="s">
        <v>354</v>
      </c>
      <c r="B152" s="17" t="s">
        <v>523</v>
      </c>
      <c r="C152" s="109">
        <f t="shared" si="56"/>
        <v>3000</v>
      </c>
      <c r="D152" s="18">
        <v>3000</v>
      </c>
      <c r="E152" s="60">
        <v>0</v>
      </c>
      <c r="F152" s="15">
        <v>0</v>
      </c>
      <c r="G152" s="60">
        <v>0</v>
      </c>
      <c r="H152" s="15">
        <v>0</v>
      </c>
      <c r="I152" s="60">
        <v>0</v>
      </c>
      <c r="J152" s="15">
        <v>0</v>
      </c>
      <c r="K152" s="60">
        <v>0</v>
      </c>
      <c r="L152" s="109">
        <f t="shared" si="58"/>
        <v>3000</v>
      </c>
    </row>
    <row r="153" spans="1:12" ht="25.5">
      <c r="A153" s="10" t="s">
        <v>355</v>
      </c>
      <c r="B153" s="11" t="s">
        <v>356</v>
      </c>
      <c r="C153" s="108">
        <f t="shared" si="56"/>
        <v>2016288</v>
      </c>
      <c r="D153" s="12">
        <f>SUM(D154:D158)</f>
        <v>1291899</v>
      </c>
      <c r="E153" s="59">
        <f aca="true" t="shared" si="62" ref="E153:K153">SUM(E154:E158)</f>
        <v>0</v>
      </c>
      <c r="F153" s="12">
        <f t="shared" si="62"/>
        <v>267083</v>
      </c>
      <c r="G153" s="59">
        <f t="shared" si="62"/>
        <v>0</v>
      </c>
      <c r="H153" s="12">
        <f t="shared" si="62"/>
        <v>457306</v>
      </c>
      <c r="I153" s="59">
        <f t="shared" si="62"/>
        <v>0</v>
      </c>
      <c r="J153" s="12">
        <f t="shared" si="62"/>
        <v>0</v>
      </c>
      <c r="K153" s="59">
        <f t="shared" si="62"/>
        <v>0</v>
      </c>
      <c r="L153" s="108">
        <f t="shared" si="58"/>
        <v>2016288</v>
      </c>
    </row>
    <row r="154" spans="1:12" ht="38.25">
      <c r="A154" s="16" t="s">
        <v>357</v>
      </c>
      <c r="B154" s="17" t="s">
        <v>358</v>
      </c>
      <c r="C154" s="109">
        <f t="shared" si="56"/>
        <v>1312997</v>
      </c>
      <c r="D154" s="18">
        <v>1108260</v>
      </c>
      <c r="E154" s="60">
        <v>0</v>
      </c>
      <c r="F154" s="15">
        <f>164181+40556</f>
        <v>204737</v>
      </c>
      <c r="G154" s="60">
        <v>0</v>
      </c>
      <c r="H154" s="15">
        <v>0</v>
      </c>
      <c r="I154" s="60">
        <v>0</v>
      </c>
      <c r="J154" s="15">
        <v>0</v>
      </c>
      <c r="K154" s="60">
        <v>0</v>
      </c>
      <c r="L154" s="109">
        <f t="shared" si="58"/>
        <v>1312997</v>
      </c>
    </row>
    <row r="155" spans="1:12" ht="38.25">
      <c r="A155" s="16" t="s">
        <v>359</v>
      </c>
      <c r="B155" s="17" t="s">
        <v>360</v>
      </c>
      <c r="C155" s="109">
        <f t="shared" si="56"/>
        <v>328300</v>
      </c>
      <c r="D155" s="18">
        <v>4371</v>
      </c>
      <c r="E155" s="60">
        <v>0</v>
      </c>
      <c r="F155" s="15">
        <v>62346</v>
      </c>
      <c r="G155" s="60">
        <v>0</v>
      </c>
      <c r="H155" s="15">
        <f>119801+141782</f>
        <v>261583</v>
      </c>
      <c r="I155" s="60">
        <v>0</v>
      </c>
      <c r="J155" s="15">
        <v>0</v>
      </c>
      <c r="K155" s="60">
        <v>0</v>
      </c>
      <c r="L155" s="109">
        <f t="shared" si="58"/>
        <v>328300</v>
      </c>
    </row>
    <row r="156" spans="1:12" ht="15">
      <c r="A156" s="16" t="s">
        <v>361</v>
      </c>
      <c r="B156" s="17" t="s">
        <v>362</v>
      </c>
      <c r="C156" s="109">
        <f t="shared" si="56"/>
        <v>83451</v>
      </c>
      <c r="D156" s="18">
        <v>30000</v>
      </c>
      <c r="E156" s="60">
        <v>0</v>
      </c>
      <c r="F156" s="15">
        <v>0</v>
      </c>
      <c r="G156" s="60">
        <v>0</v>
      </c>
      <c r="H156" s="15">
        <v>53451</v>
      </c>
      <c r="I156" s="60">
        <v>0</v>
      </c>
      <c r="J156" s="15">
        <v>0</v>
      </c>
      <c r="K156" s="60">
        <v>0</v>
      </c>
      <c r="L156" s="109">
        <f t="shared" si="58"/>
        <v>83451</v>
      </c>
    </row>
    <row r="157" spans="1:12" ht="38.25">
      <c r="A157" s="13" t="s">
        <v>363</v>
      </c>
      <c r="B157" s="14" t="s">
        <v>364</v>
      </c>
      <c r="C157" s="109">
        <f t="shared" si="56"/>
        <v>500</v>
      </c>
      <c r="D157" s="15">
        <v>0</v>
      </c>
      <c r="E157" s="60">
        <v>0</v>
      </c>
      <c r="F157" s="15">
        <v>0</v>
      </c>
      <c r="G157" s="60">
        <v>0</v>
      </c>
      <c r="H157" s="15">
        <v>500</v>
      </c>
      <c r="I157" s="60">
        <v>0</v>
      </c>
      <c r="J157" s="15">
        <v>0</v>
      </c>
      <c r="K157" s="60">
        <v>0</v>
      </c>
      <c r="L157" s="109">
        <f t="shared" si="58"/>
        <v>500</v>
      </c>
    </row>
    <row r="158" spans="1:12" ht="38.25">
      <c r="A158" s="13" t="s">
        <v>487</v>
      </c>
      <c r="B158" s="14" t="s">
        <v>488</v>
      </c>
      <c r="C158" s="109">
        <f t="shared" si="56"/>
        <v>291040</v>
      </c>
      <c r="D158" s="15">
        <v>149268</v>
      </c>
      <c r="E158" s="60">
        <v>0</v>
      </c>
      <c r="F158" s="15">
        <v>0</v>
      </c>
      <c r="G158" s="60">
        <v>0</v>
      </c>
      <c r="H158" s="15">
        <v>141772</v>
      </c>
      <c r="I158" s="60">
        <v>0</v>
      </c>
      <c r="J158" s="15">
        <v>0</v>
      </c>
      <c r="K158" s="60">
        <v>0</v>
      </c>
      <c r="L158" s="109">
        <f aca="true" t="shared" si="63" ref="L158:L163">SUM(D158:K158)</f>
        <v>291040</v>
      </c>
    </row>
    <row r="159" spans="1:12" ht="15">
      <c r="A159" s="31" t="s">
        <v>526</v>
      </c>
      <c r="B159" s="22" t="s">
        <v>527</v>
      </c>
      <c r="C159" s="108">
        <f aca="true" t="shared" si="64" ref="C159:C167">D159+F159+H159+J159</f>
        <v>1446818</v>
      </c>
      <c r="D159" s="12">
        <f aca="true" t="shared" si="65" ref="D159:K159">D160+D162+D164</f>
        <v>814811</v>
      </c>
      <c r="E159" s="59">
        <f t="shared" si="65"/>
        <v>0</v>
      </c>
      <c r="F159" s="12">
        <f t="shared" si="65"/>
        <v>87023</v>
      </c>
      <c r="G159" s="59">
        <f t="shared" si="65"/>
        <v>0</v>
      </c>
      <c r="H159" s="12">
        <f t="shared" si="65"/>
        <v>544984</v>
      </c>
      <c r="I159" s="59">
        <f t="shared" si="65"/>
        <v>0</v>
      </c>
      <c r="J159" s="12">
        <f t="shared" si="65"/>
        <v>0</v>
      </c>
      <c r="K159" s="59">
        <f t="shared" si="65"/>
        <v>0</v>
      </c>
      <c r="L159" s="109">
        <f t="shared" si="63"/>
        <v>1446818</v>
      </c>
    </row>
    <row r="160" spans="1:12" ht="15">
      <c r="A160" s="31" t="s">
        <v>524</v>
      </c>
      <c r="B160" s="22" t="s">
        <v>528</v>
      </c>
      <c r="C160" s="108">
        <f t="shared" si="64"/>
        <v>1025855</v>
      </c>
      <c r="D160" s="12">
        <f aca="true" t="shared" si="66" ref="D160:K160">D161</f>
        <v>503855</v>
      </c>
      <c r="E160" s="59">
        <f t="shared" si="66"/>
        <v>0</v>
      </c>
      <c r="F160" s="12">
        <f t="shared" si="66"/>
        <v>0</v>
      </c>
      <c r="G160" s="59">
        <f t="shared" si="66"/>
        <v>0</v>
      </c>
      <c r="H160" s="12">
        <f t="shared" si="66"/>
        <v>522000</v>
      </c>
      <c r="I160" s="59">
        <f t="shared" si="66"/>
        <v>0</v>
      </c>
      <c r="J160" s="12">
        <f t="shared" si="66"/>
        <v>0</v>
      </c>
      <c r="K160" s="59">
        <f t="shared" si="66"/>
        <v>0</v>
      </c>
      <c r="L160" s="109">
        <f t="shared" si="63"/>
        <v>1025855</v>
      </c>
    </row>
    <row r="161" spans="1:12" ht="25.5">
      <c r="A161" s="118" t="s">
        <v>525</v>
      </c>
      <c r="B161" s="14" t="s">
        <v>529</v>
      </c>
      <c r="C161" s="109">
        <f t="shared" si="64"/>
        <v>1025855</v>
      </c>
      <c r="D161" s="15">
        <v>503855</v>
      </c>
      <c r="E161" s="60">
        <v>0</v>
      </c>
      <c r="F161" s="15">
        <v>0</v>
      </c>
      <c r="G161" s="60">
        <v>0</v>
      </c>
      <c r="H161" s="15">
        <v>522000</v>
      </c>
      <c r="I161" s="60">
        <v>0</v>
      </c>
      <c r="J161" s="15">
        <v>0</v>
      </c>
      <c r="K161" s="60">
        <v>0</v>
      </c>
      <c r="L161" s="109">
        <f t="shared" si="63"/>
        <v>1025855</v>
      </c>
    </row>
    <row r="162" spans="1:12" ht="15">
      <c r="A162" s="31" t="s">
        <v>530</v>
      </c>
      <c r="B162" s="22" t="s">
        <v>531</v>
      </c>
      <c r="C162" s="108">
        <f t="shared" si="64"/>
        <v>135026</v>
      </c>
      <c r="D162" s="12">
        <f aca="true" t="shared" si="67" ref="D162:K162">D163</f>
        <v>105776</v>
      </c>
      <c r="E162" s="59">
        <f t="shared" si="67"/>
        <v>0</v>
      </c>
      <c r="F162" s="12">
        <f t="shared" si="67"/>
        <v>29250</v>
      </c>
      <c r="G162" s="59">
        <f t="shared" si="67"/>
        <v>0</v>
      </c>
      <c r="H162" s="12">
        <f t="shared" si="67"/>
        <v>0</v>
      </c>
      <c r="I162" s="59">
        <f t="shared" si="67"/>
        <v>0</v>
      </c>
      <c r="J162" s="12">
        <f t="shared" si="67"/>
        <v>0</v>
      </c>
      <c r="K162" s="59">
        <f t="shared" si="67"/>
        <v>0</v>
      </c>
      <c r="L162" s="109">
        <f t="shared" si="63"/>
        <v>135026</v>
      </c>
    </row>
    <row r="163" spans="1:12" ht="51">
      <c r="A163" s="118" t="s">
        <v>532</v>
      </c>
      <c r="B163" s="14" t="s">
        <v>533</v>
      </c>
      <c r="C163" s="109">
        <f t="shared" si="64"/>
        <v>135026</v>
      </c>
      <c r="D163" s="15">
        <v>105776</v>
      </c>
      <c r="E163" s="60">
        <v>0</v>
      </c>
      <c r="F163" s="15">
        <v>29250</v>
      </c>
      <c r="G163" s="60">
        <v>0</v>
      </c>
      <c r="H163" s="15">
        <v>0</v>
      </c>
      <c r="I163" s="60">
        <v>0</v>
      </c>
      <c r="J163" s="15">
        <v>0</v>
      </c>
      <c r="K163" s="60">
        <v>0</v>
      </c>
      <c r="L163" s="109">
        <f t="shared" si="63"/>
        <v>135026</v>
      </c>
    </row>
    <row r="164" spans="1:12" ht="15">
      <c r="A164" s="31" t="s">
        <v>468</v>
      </c>
      <c r="B164" s="22" t="s">
        <v>469</v>
      </c>
      <c r="C164" s="108">
        <f t="shared" si="64"/>
        <v>285937</v>
      </c>
      <c r="D164" s="12">
        <f aca="true" t="shared" si="68" ref="D164:K164">D165+D166</f>
        <v>205180</v>
      </c>
      <c r="E164" s="59">
        <f t="shared" si="68"/>
        <v>0</v>
      </c>
      <c r="F164" s="12">
        <f t="shared" si="68"/>
        <v>57773</v>
      </c>
      <c r="G164" s="59">
        <f t="shared" si="68"/>
        <v>0</v>
      </c>
      <c r="H164" s="12">
        <f t="shared" si="68"/>
        <v>22984</v>
      </c>
      <c r="I164" s="59">
        <f t="shared" si="68"/>
        <v>0</v>
      </c>
      <c r="J164" s="12">
        <f t="shared" si="68"/>
        <v>0</v>
      </c>
      <c r="K164" s="59">
        <f t="shared" si="68"/>
        <v>0</v>
      </c>
      <c r="L164" s="108">
        <f t="shared" si="58"/>
        <v>285937</v>
      </c>
    </row>
    <row r="165" spans="1:12" ht="21" customHeight="1">
      <c r="A165" s="118" t="s">
        <v>470</v>
      </c>
      <c r="B165" s="14" t="s">
        <v>471</v>
      </c>
      <c r="C165" s="109">
        <f t="shared" si="64"/>
        <v>22984</v>
      </c>
      <c r="D165" s="15">
        <v>0</v>
      </c>
      <c r="E165" s="60">
        <v>0</v>
      </c>
      <c r="F165" s="15">
        <v>0</v>
      </c>
      <c r="G165" s="60">
        <v>0</v>
      </c>
      <c r="H165" s="15">
        <v>22984</v>
      </c>
      <c r="I165" s="60">
        <v>0</v>
      </c>
      <c r="J165" s="15">
        <v>0</v>
      </c>
      <c r="K165" s="60">
        <v>0</v>
      </c>
      <c r="L165" s="109">
        <f t="shared" si="58"/>
        <v>22984</v>
      </c>
    </row>
    <row r="166" spans="1:12" ht="51">
      <c r="A166" s="118" t="s">
        <v>534</v>
      </c>
      <c r="B166" s="14" t="s">
        <v>535</v>
      </c>
      <c r="C166" s="109">
        <f t="shared" si="64"/>
        <v>262953</v>
      </c>
      <c r="D166" s="15">
        <v>205180</v>
      </c>
      <c r="E166" s="60">
        <v>0</v>
      </c>
      <c r="F166" s="15">
        <f>41377+16396</f>
        <v>57773</v>
      </c>
      <c r="G166" s="60">
        <v>0</v>
      </c>
      <c r="H166" s="15">
        <v>0</v>
      </c>
      <c r="I166" s="60">
        <v>0</v>
      </c>
      <c r="J166" s="15">
        <v>0</v>
      </c>
      <c r="K166" s="60">
        <v>0</v>
      </c>
      <c r="L166" s="109">
        <f t="shared" si="58"/>
        <v>262953</v>
      </c>
    </row>
    <row r="167" spans="1:12" ht="15">
      <c r="A167" s="119" t="s">
        <v>537</v>
      </c>
      <c r="B167" s="11" t="s">
        <v>538</v>
      </c>
      <c r="C167" s="109">
        <f t="shared" si="64"/>
        <v>1574961</v>
      </c>
      <c r="D167" s="12">
        <f aca="true" t="shared" si="69" ref="D167:K167">D168+D172</f>
        <v>1177666</v>
      </c>
      <c r="E167" s="59">
        <f t="shared" si="69"/>
        <v>0</v>
      </c>
      <c r="F167" s="12">
        <f t="shared" si="69"/>
        <v>1509</v>
      </c>
      <c r="G167" s="59">
        <f t="shared" si="69"/>
        <v>0</v>
      </c>
      <c r="H167" s="12">
        <f t="shared" si="69"/>
        <v>395786</v>
      </c>
      <c r="I167" s="59">
        <f t="shared" si="69"/>
        <v>0</v>
      </c>
      <c r="J167" s="12">
        <f t="shared" si="69"/>
        <v>0</v>
      </c>
      <c r="K167" s="59">
        <f t="shared" si="69"/>
        <v>0</v>
      </c>
      <c r="L167" s="109">
        <f>SUM(D167:K167)</f>
        <v>1574961</v>
      </c>
    </row>
    <row r="168" spans="1:12" ht="15">
      <c r="A168" s="10" t="s">
        <v>365</v>
      </c>
      <c r="B168" s="11" t="s">
        <v>366</v>
      </c>
      <c r="C168" s="108">
        <f t="shared" si="56"/>
        <v>1476245</v>
      </c>
      <c r="D168" s="12">
        <f>SUM(D169:D171)</f>
        <v>1140019</v>
      </c>
      <c r="E168" s="61">
        <f aca="true" t="shared" si="70" ref="E168:K168">SUM(E169:E171)</f>
        <v>0</v>
      </c>
      <c r="F168" s="23">
        <f t="shared" si="70"/>
        <v>1509</v>
      </c>
      <c r="G168" s="61">
        <f t="shared" si="70"/>
        <v>0</v>
      </c>
      <c r="H168" s="23">
        <f t="shared" si="70"/>
        <v>334717</v>
      </c>
      <c r="I168" s="61">
        <f t="shared" si="70"/>
        <v>0</v>
      </c>
      <c r="J168" s="23">
        <f t="shared" si="70"/>
        <v>0</v>
      </c>
      <c r="K168" s="61">
        <f t="shared" si="70"/>
        <v>0</v>
      </c>
      <c r="L168" s="108">
        <f t="shared" si="58"/>
        <v>1476245</v>
      </c>
    </row>
    <row r="169" spans="1:12" ht="25.5">
      <c r="A169" s="16" t="s">
        <v>367</v>
      </c>
      <c r="B169" s="17" t="s">
        <v>368</v>
      </c>
      <c r="C169" s="109">
        <f t="shared" si="56"/>
        <v>1018752</v>
      </c>
      <c r="D169" s="18">
        <f>963651+53778</f>
        <v>1017429</v>
      </c>
      <c r="E169" s="60">
        <v>0</v>
      </c>
      <c r="F169" s="15">
        <f>74+1249</f>
        <v>1323</v>
      </c>
      <c r="G169" s="60">
        <v>0</v>
      </c>
      <c r="H169" s="15">
        <v>0</v>
      </c>
      <c r="I169" s="60">
        <v>0</v>
      </c>
      <c r="J169" s="15">
        <v>0</v>
      </c>
      <c r="K169" s="60">
        <v>0</v>
      </c>
      <c r="L169" s="109">
        <f t="shared" si="58"/>
        <v>1018752</v>
      </c>
    </row>
    <row r="170" spans="1:12" ht="25.5">
      <c r="A170" s="13" t="s">
        <v>369</v>
      </c>
      <c r="B170" s="14" t="s">
        <v>370</v>
      </c>
      <c r="C170" s="109">
        <f t="shared" si="56"/>
        <v>334717</v>
      </c>
      <c r="D170" s="15">
        <v>0</v>
      </c>
      <c r="E170" s="60">
        <v>0</v>
      </c>
      <c r="F170" s="15">
        <v>0</v>
      </c>
      <c r="G170" s="60">
        <v>0</v>
      </c>
      <c r="H170" s="15">
        <f>300469+34248</f>
        <v>334717</v>
      </c>
      <c r="I170" s="60">
        <v>0</v>
      </c>
      <c r="J170" s="15">
        <v>0</v>
      </c>
      <c r="K170" s="60">
        <v>0</v>
      </c>
      <c r="L170" s="109">
        <f t="shared" si="58"/>
        <v>334717</v>
      </c>
    </row>
    <row r="171" spans="1:12" ht="25.5">
      <c r="A171" s="16" t="s">
        <v>371</v>
      </c>
      <c r="B171" s="17" t="s">
        <v>372</v>
      </c>
      <c r="C171" s="109">
        <f t="shared" si="56"/>
        <v>122776</v>
      </c>
      <c r="D171" s="18">
        <v>122590</v>
      </c>
      <c r="E171" s="60">
        <v>0</v>
      </c>
      <c r="F171" s="15">
        <v>186</v>
      </c>
      <c r="G171" s="60">
        <v>0</v>
      </c>
      <c r="H171" s="15">
        <v>0</v>
      </c>
      <c r="I171" s="60">
        <v>0</v>
      </c>
      <c r="J171" s="15">
        <v>0</v>
      </c>
      <c r="K171" s="60">
        <v>0</v>
      </c>
      <c r="L171" s="109">
        <f t="shared" si="58"/>
        <v>122776</v>
      </c>
    </row>
    <row r="172" spans="1:12" ht="25.5">
      <c r="A172" s="10" t="s">
        <v>373</v>
      </c>
      <c r="B172" s="11" t="s">
        <v>374</v>
      </c>
      <c r="C172" s="108">
        <f t="shared" si="56"/>
        <v>98716</v>
      </c>
      <c r="D172" s="12">
        <f aca="true" t="shared" si="71" ref="D172:K172">D173+D174</f>
        <v>37647</v>
      </c>
      <c r="E172" s="61">
        <f t="shared" si="71"/>
        <v>0</v>
      </c>
      <c r="F172" s="12">
        <f t="shared" si="71"/>
        <v>0</v>
      </c>
      <c r="G172" s="61">
        <f t="shared" si="71"/>
        <v>0</v>
      </c>
      <c r="H172" s="12">
        <f t="shared" si="71"/>
        <v>61069</v>
      </c>
      <c r="I172" s="61">
        <f t="shared" si="71"/>
        <v>0</v>
      </c>
      <c r="J172" s="12">
        <f t="shared" si="71"/>
        <v>0</v>
      </c>
      <c r="K172" s="61">
        <f t="shared" si="71"/>
        <v>0</v>
      </c>
      <c r="L172" s="108">
        <f t="shared" si="58"/>
        <v>98716</v>
      </c>
    </row>
    <row r="173" spans="1:12" ht="38.25">
      <c r="A173" s="118" t="s">
        <v>472</v>
      </c>
      <c r="B173" s="14" t="s">
        <v>482</v>
      </c>
      <c r="C173" s="109">
        <f t="shared" si="56"/>
        <v>98716</v>
      </c>
      <c r="D173" s="18">
        <v>37647</v>
      </c>
      <c r="E173" s="60">
        <v>0</v>
      </c>
      <c r="F173" s="15">
        <v>0</v>
      </c>
      <c r="G173" s="60">
        <v>0</v>
      </c>
      <c r="H173" s="15">
        <v>61069</v>
      </c>
      <c r="I173" s="60">
        <v>0</v>
      </c>
      <c r="J173" s="15">
        <v>0</v>
      </c>
      <c r="K173" s="60">
        <v>0</v>
      </c>
      <c r="L173" s="109">
        <f t="shared" si="58"/>
        <v>98716</v>
      </c>
    </row>
    <row r="174" spans="1:12" ht="15" hidden="1">
      <c r="A174" s="120" t="s">
        <v>501</v>
      </c>
      <c r="B174" s="86" t="s">
        <v>502</v>
      </c>
      <c r="C174" s="110">
        <f t="shared" si="56"/>
        <v>0</v>
      </c>
      <c r="D174" s="88"/>
      <c r="E174" s="89"/>
      <c r="F174" s="88"/>
      <c r="G174" s="89"/>
      <c r="H174" s="88"/>
      <c r="I174" s="89"/>
      <c r="J174" s="88"/>
      <c r="K174" s="89"/>
      <c r="L174" s="110">
        <f t="shared" si="58"/>
        <v>0</v>
      </c>
    </row>
    <row r="175" spans="1:12" ht="15">
      <c r="A175" s="55" t="s">
        <v>48</v>
      </c>
      <c r="B175" s="56" t="s">
        <v>165</v>
      </c>
      <c r="C175" s="9">
        <f t="shared" si="56"/>
        <v>15613302</v>
      </c>
      <c r="D175" s="57">
        <f>D176+D185+D188+D191+D193+D195+D205</f>
        <v>11444856</v>
      </c>
      <c r="E175" s="58">
        <f aca="true" t="shared" si="72" ref="E175:K175">E176+E185+E188+E192+E194+E195+E205</f>
        <v>0</v>
      </c>
      <c r="F175" s="57">
        <f t="shared" si="72"/>
        <v>73720</v>
      </c>
      <c r="G175" s="58">
        <f t="shared" si="72"/>
        <v>0</v>
      </c>
      <c r="H175" s="57">
        <f t="shared" si="72"/>
        <v>4094726</v>
      </c>
      <c r="I175" s="58">
        <f t="shared" si="72"/>
        <v>0</v>
      </c>
      <c r="J175" s="57">
        <f t="shared" si="72"/>
        <v>0</v>
      </c>
      <c r="K175" s="58">
        <f t="shared" si="72"/>
        <v>0</v>
      </c>
      <c r="L175" s="9">
        <f t="shared" si="58"/>
        <v>15613302</v>
      </c>
    </row>
    <row r="176" spans="1:12" ht="20.25" customHeight="1">
      <c r="A176" s="10" t="s">
        <v>375</v>
      </c>
      <c r="B176" s="11" t="s">
        <v>376</v>
      </c>
      <c r="C176" s="108">
        <f t="shared" si="56"/>
        <v>3628454</v>
      </c>
      <c r="D176" s="12">
        <f>SUM(D177:D184)</f>
        <v>1020199</v>
      </c>
      <c r="E176" s="59">
        <f aca="true" t="shared" si="73" ref="E176:K176">SUM(E177:E184)</f>
        <v>0</v>
      </c>
      <c r="F176" s="12">
        <f t="shared" si="73"/>
        <v>33518</v>
      </c>
      <c r="G176" s="59">
        <f t="shared" si="73"/>
        <v>0</v>
      </c>
      <c r="H176" s="12">
        <f t="shared" si="73"/>
        <v>2574737</v>
      </c>
      <c r="I176" s="59">
        <f t="shared" si="73"/>
        <v>0</v>
      </c>
      <c r="J176" s="12">
        <f t="shared" si="73"/>
        <v>0</v>
      </c>
      <c r="K176" s="59">
        <f t="shared" si="73"/>
        <v>0</v>
      </c>
      <c r="L176" s="108">
        <f t="shared" si="58"/>
        <v>3628454</v>
      </c>
    </row>
    <row r="177" spans="1:12" ht="33" customHeight="1">
      <c r="A177" s="16" t="s">
        <v>377</v>
      </c>
      <c r="B177" s="17" t="s">
        <v>378</v>
      </c>
      <c r="C177" s="109">
        <f aca="true" t="shared" si="74" ref="C177:C184">D177+F177+H177+J177</f>
        <v>1796237</v>
      </c>
      <c r="D177" s="18">
        <v>200704</v>
      </c>
      <c r="E177" s="60">
        <v>0</v>
      </c>
      <c r="F177" s="15">
        <v>0</v>
      </c>
      <c r="G177" s="60">
        <v>0</v>
      </c>
      <c r="H177" s="15">
        <v>1595533</v>
      </c>
      <c r="I177" s="60">
        <v>0</v>
      </c>
      <c r="J177" s="18">
        <v>0</v>
      </c>
      <c r="K177" s="60">
        <v>0</v>
      </c>
      <c r="L177" s="109">
        <f aca="true" t="shared" si="75" ref="L177:L184">SUM(D177:K177)</f>
        <v>1796237</v>
      </c>
    </row>
    <row r="178" spans="1:12" ht="15">
      <c r="A178" s="16" t="s">
        <v>379</v>
      </c>
      <c r="B178" s="17" t="s">
        <v>380</v>
      </c>
      <c r="C178" s="109">
        <f t="shared" si="74"/>
        <v>128811</v>
      </c>
      <c r="D178" s="18">
        <v>119079</v>
      </c>
      <c r="E178" s="60">
        <v>0</v>
      </c>
      <c r="F178" s="15">
        <v>9415</v>
      </c>
      <c r="G178" s="60">
        <v>0</v>
      </c>
      <c r="H178" s="15">
        <v>317</v>
      </c>
      <c r="I178" s="60">
        <v>0</v>
      </c>
      <c r="J178" s="18">
        <v>0</v>
      </c>
      <c r="K178" s="60">
        <v>0</v>
      </c>
      <c r="L178" s="109">
        <f t="shared" si="75"/>
        <v>128811</v>
      </c>
    </row>
    <row r="179" spans="1:12" ht="15">
      <c r="A179" s="16" t="s">
        <v>381</v>
      </c>
      <c r="B179" s="17" t="s">
        <v>382</v>
      </c>
      <c r="C179" s="109">
        <f t="shared" si="74"/>
        <v>124964</v>
      </c>
      <c r="D179" s="18">
        <v>111754</v>
      </c>
      <c r="E179" s="60">
        <v>0</v>
      </c>
      <c r="F179" s="15">
        <v>12815</v>
      </c>
      <c r="G179" s="60">
        <v>0</v>
      </c>
      <c r="H179" s="15">
        <v>395</v>
      </c>
      <c r="I179" s="60">
        <v>0</v>
      </c>
      <c r="J179" s="18">
        <v>0</v>
      </c>
      <c r="K179" s="60">
        <v>0</v>
      </c>
      <c r="L179" s="109">
        <f t="shared" si="75"/>
        <v>124964</v>
      </c>
    </row>
    <row r="180" spans="1:12" ht="15">
      <c r="A180" s="16" t="s">
        <v>383</v>
      </c>
      <c r="B180" s="17" t="s">
        <v>384</v>
      </c>
      <c r="C180" s="109">
        <f t="shared" si="74"/>
        <v>137159</v>
      </c>
      <c r="D180" s="18">
        <v>136578</v>
      </c>
      <c r="E180" s="60">
        <v>0</v>
      </c>
      <c r="F180" s="15">
        <v>468</v>
      </c>
      <c r="G180" s="60">
        <v>0</v>
      </c>
      <c r="H180" s="15">
        <v>113</v>
      </c>
      <c r="I180" s="60">
        <v>0</v>
      </c>
      <c r="J180" s="18">
        <v>0</v>
      </c>
      <c r="K180" s="60">
        <v>0</v>
      </c>
      <c r="L180" s="109">
        <f t="shared" si="75"/>
        <v>137159</v>
      </c>
    </row>
    <row r="181" spans="1:12" ht="15">
      <c r="A181" s="16" t="s">
        <v>385</v>
      </c>
      <c r="B181" s="17" t="s">
        <v>386</v>
      </c>
      <c r="C181" s="109">
        <f t="shared" si="74"/>
        <v>162560</v>
      </c>
      <c r="D181" s="18">
        <v>67762</v>
      </c>
      <c r="E181" s="60">
        <v>0</v>
      </c>
      <c r="F181" s="15">
        <v>5645</v>
      </c>
      <c r="G181" s="60">
        <v>0</v>
      </c>
      <c r="H181" s="15">
        <f>78367+10786</f>
        <v>89153</v>
      </c>
      <c r="I181" s="60">
        <v>0</v>
      </c>
      <c r="J181" s="15">
        <v>0</v>
      </c>
      <c r="K181" s="60">
        <v>0</v>
      </c>
      <c r="L181" s="109">
        <f t="shared" si="75"/>
        <v>162560</v>
      </c>
    </row>
    <row r="182" spans="1:12" ht="15">
      <c r="A182" s="16" t="s">
        <v>473</v>
      </c>
      <c r="B182" s="17" t="s">
        <v>474</v>
      </c>
      <c r="C182" s="109">
        <f t="shared" si="74"/>
        <v>169981</v>
      </c>
      <c r="D182" s="18">
        <v>164459</v>
      </c>
      <c r="E182" s="60">
        <v>0</v>
      </c>
      <c r="F182" s="15">
        <v>5175</v>
      </c>
      <c r="G182" s="60">
        <v>0</v>
      </c>
      <c r="H182" s="15">
        <v>347</v>
      </c>
      <c r="I182" s="60">
        <v>0</v>
      </c>
      <c r="J182" s="15">
        <v>0</v>
      </c>
      <c r="K182" s="60">
        <v>0</v>
      </c>
      <c r="L182" s="109">
        <f t="shared" si="75"/>
        <v>169981</v>
      </c>
    </row>
    <row r="183" spans="1:12" ht="15">
      <c r="A183" s="16" t="s">
        <v>539</v>
      </c>
      <c r="B183" s="17" t="s">
        <v>540</v>
      </c>
      <c r="C183" s="109">
        <f t="shared" si="74"/>
        <v>59863</v>
      </c>
      <c r="D183" s="18">
        <v>59863</v>
      </c>
      <c r="E183" s="60">
        <v>0</v>
      </c>
      <c r="F183" s="15">
        <v>0</v>
      </c>
      <c r="G183" s="60">
        <v>0</v>
      </c>
      <c r="H183" s="15">
        <v>0</v>
      </c>
      <c r="I183" s="60">
        <v>0</v>
      </c>
      <c r="J183" s="15">
        <v>0</v>
      </c>
      <c r="K183" s="60">
        <v>0</v>
      </c>
      <c r="L183" s="109">
        <f t="shared" si="75"/>
        <v>59863</v>
      </c>
    </row>
    <row r="184" spans="1:12" ht="15">
      <c r="A184" s="16" t="s">
        <v>387</v>
      </c>
      <c r="B184" s="17" t="s">
        <v>388</v>
      </c>
      <c r="C184" s="109">
        <f t="shared" si="74"/>
        <v>1048879</v>
      </c>
      <c r="D184" s="15">
        <v>160000</v>
      </c>
      <c r="E184" s="60">
        <v>0</v>
      </c>
      <c r="F184" s="15">
        <v>0</v>
      </c>
      <c r="G184" s="60">
        <v>0</v>
      </c>
      <c r="H184" s="15">
        <v>888879</v>
      </c>
      <c r="I184" s="60">
        <v>0</v>
      </c>
      <c r="J184" s="15">
        <v>0</v>
      </c>
      <c r="K184" s="60">
        <v>0</v>
      </c>
      <c r="L184" s="109">
        <f t="shared" si="75"/>
        <v>1048879</v>
      </c>
    </row>
    <row r="185" spans="1:12" ht="15">
      <c r="A185" s="10" t="s">
        <v>389</v>
      </c>
      <c r="B185" s="11" t="s">
        <v>390</v>
      </c>
      <c r="C185" s="108">
        <f aca="true" t="shared" si="76" ref="C185:C195">D185+F185+H185+J185</f>
        <v>1765296</v>
      </c>
      <c r="D185" s="12">
        <f>SUM(D186:D187)</f>
        <v>1718231</v>
      </c>
      <c r="E185" s="61">
        <f aca="true" t="shared" si="77" ref="E185:K185">SUM(E186:E187)</f>
        <v>0</v>
      </c>
      <c r="F185" s="23">
        <f t="shared" si="77"/>
        <v>822</v>
      </c>
      <c r="G185" s="61">
        <f t="shared" si="77"/>
        <v>0</v>
      </c>
      <c r="H185" s="23">
        <f t="shared" si="77"/>
        <v>46243</v>
      </c>
      <c r="I185" s="61">
        <f t="shared" si="77"/>
        <v>0</v>
      </c>
      <c r="J185" s="23">
        <f t="shared" si="77"/>
        <v>0</v>
      </c>
      <c r="K185" s="59">
        <f t="shared" si="77"/>
        <v>0</v>
      </c>
      <c r="L185" s="108">
        <f aca="true" t="shared" si="78" ref="L185:L195">SUM(D185:K185)</f>
        <v>1765296</v>
      </c>
    </row>
    <row r="186" spans="1:12" ht="25.5">
      <c r="A186" s="16" t="s">
        <v>391</v>
      </c>
      <c r="B186" s="17" t="s">
        <v>392</v>
      </c>
      <c r="C186" s="109">
        <f t="shared" si="76"/>
        <v>367739</v>
      </c>
      <c r="D186" s="18">
        <v>367219</v>
      </c>
      <c r="E186" s="60">
        <v>0</v>
      </c>
      <c r="F186" s="15">
        <v>369</v>
      </c>
      <c r="G186" s="60">
        <v>0</v>
      </c>
      <c r="H186" s="15">
        <v>151</v>
      </c>
      <c r="I186" s="60">
        <v>0</v>
      </c>
      <c r="J186" s="15">
        <v>0</v>
      </c>
      <c r="K186" s="60">
        <v>0</v>
      </c>
      <c r="L186" s="109">
        <f t="shared" si="78"/>
        <v>367739</v>
      </c>
    </row>
    <row r="187" spans="1:12" ht="15">
      <c r="A187" s="16" t="s">
        <v>393</v>
      </c>
      <c r="B187" s="17" t="s">
        <v>394</v>
      </c>
      <c r="C187" s="109">
        <f t="shared" si="76"/>
        <v>1397557</v>
      </c>
      <c r="D187" s="18">
        <v>1351012</v>
      </c>
      <c r="E187" s="60">
        <v>0</v>
      </c>
      <c r="F187" s="15">
        <v>453</v>
      </c>
      <c r="G187" s="60">
        <v>0</v>
      </c>
      <c r="H187" s="15">
        <v>46092</v>
      </c>
      <c r="I187" s="60">
        <v>0</v>
      </c>
      <c r="J187" s="15">
        <v>0</v>
      </c>
      <c r="K187" s="60">
        <v>0</v>
      </c>
      <c r="L187" s="109">
        <f t="shared" si="78"/>
        <v>1397557</v>
      </c>
    </row>
    <row r="188" spans="1:12" ht="15">
      <c r="A188" s="10" t="s">
        <v>395</v>
      </c>
      <c r="B188" s="11" t="s">
        <v>396</v>
      </c>
      <c r="C188" s="108">
        <f t="shared" si="76"/>
        <v>2049997</v>
      </c>
      <c r="D188" s="12">
        <f aca="true" t="shared" si="79" ref="D188:K188">SUM(D189:D190)</f>
        <v>1864952</v>
      </c>
      <c r="E188" s="61">
        <f t="shared" si="79"/>
        <v>0</v>
      </c>
      <c r="F188" s="23">
        <f t="shared" si="79"/>
        <v>18645</v>
      </c>
      <c r="G188" s="61">
        <f t="shared" si="79"/>
        <v>0</v>
      </c>
      <c r="H188" s="23">
        <f t="shared" si="79"/>
        <v>166400</v>
      </c>
      <c r="I188" s="61">
        <f t="shared" si="79"/>
        <v>0</v>
      </c>
      <c r="J188" s="23">
        <f t="shared" si="79"/>
        <v>0</v>
      </c>
      <c r="K188" s="59">
        <f t="shared" si="79"/>
        <v>0</v>
      </c>
      <c r="L188" s="108">
        <f t="shared" si="78"/>
        <v>2049997</v>
      </c>
    </row>
    <row r="189" spans="1:12" ht="38.25">
      <c r="A189" s="16" t="s">
        <v>397</v>
      </c>
      <c r="B189" s="17" t="s">
        <v>398</v>
      </c>
      <c r="C189" s="109">
        <f t="shared" si="76"/>
        <v>1805479</v>
      </c>
      <c r="D189" s="18">
        <v>1620434</v>
      </c>
      <c r="E189" s="60">
        <v>0</v>
      </c>
      <c r="F189" s="15">
        <f>13052+5593</f>
        <v>18645</v>
      </c>
      <c r="G189" s="60">
        <v>0</v>
      </c>
      <c r="H189" s="15">
        <f>134499+31901</f>
        <v>166400</v>
      </c>
      <c r="I189" s="60">
        <v>0</v>
      </c>
      <c r="J189" s="15">
        <v>0</v>
      </c>
      <c r="K189" s="60">
        <v>0</v>
      </c>
      <c r="L189" s="109">
        <f t="shared" si="78"/>
        <v>1805479</v>
      </c>
    </row>
    <row r="190" spans="1:12" ht="25.5">
      <c r="A190" s="16" t="s">
        <v>399</v>
      </c>
      <c r="B190" s="17" t="s">
        <v>541</v>
      </c>
      <c r="C190" s="109">
        <f t="shared" si="76"/>
        <v>244518</v>
      </c>
      <c r="D190" s="18">
        <f>229240+15278</f>
        <v>244518</v>
      </c>
      <c r="E190" s="60">
        <v>0</v>
      </c>
      <c r="F190" s="15">
        <v>0</v>
      </c>
      <c r="G190" s="60">
        <v>0</v>
      </c>
      <c r="H190" s="15">
        <v>0</v>
      </c>
      <c r="I190" s="60">
        <v>0</v>
      </c>
      <c r="J190" s="15">
        <v>0</v>
      </c>
      <c r="K190" s="60">
        <v>0</v>
      </c>
      <c r="L190" s="109">
        <f t="shared" si="78"/>
        <v>244518</v>
      </c>
    </row>
    <row r="191" spans="1:12" ht="15">
      <c r="A191" s="10" t="s">
        <v>400</v>
      </c>
      <c r="B191" s="11" t="s">
        <v>401</v>
      </c>
      <c r="C191" s="108">
        <f t="shared" si="76"/>
        <v>53800</v>
      </c>
      <c r="D191" s="12">
        <f>D192</f>
        <v>28000</v>
      </c>
      <c r="E191" s="59">
        <f aca="true" t="shared" si="80" ref="E191:K191">E192</f>
        <v>0</v>
      </c>
      <c r="F191" s="12">
        <f t="shared" si="80"/>
        <v>0</v>
      </c>
      <c r="G191" s="59">
        <f t="shared" si="80"/>
        <v>0</v>
      </c>
      <c r="H191" s="12">
        <f t="shared" si="80"/>
        <v>25800</v>
      </c>
      <c r="I191" s="59">
        <f t="shared" si="80"/>
        <v>0</v>
      </c>
      <c r="J191" s="12">
        <f t="shared" si="80"/>
        <v>0</v>
      </c>
      <c r="K191" s="59">
        <f t="shared" si="80"/>
        <v>0</v>
      </c>
      <c r="L191" s="108">
        <f t="shared" si="78"/>
        <v>53800</v>
      </c>
    </row>
    <row r="192" spans="1:12" ht="15">
      <c r="A192" s="16" t="s">
        <v>402</v>
      </c>
      <c r="B192" s="17" t="s">
        <v>401</v>
      </c>
      <c r="C192" s="109">
        <f t="shared" si="76"/>
        <v>53800</v>
      </c>
      <c r="D192" s="18">
        <v>28000</v>
      </c>
      <c r="E192" s="60">
        <v>0</v>
      </c>
      <c r="F192" s="15">
        <v>0</v>
      </c>
      <c r="G192" s="60">
        <v>0</v>
      </c>
      <c r="H192" s="15">
        <v>25800</v>
      </c>
      <c r="I192" s="60">
        <v>0</v>
      </c>
      <c r="J192" s="15">
        <v>0</v>
      </c>
      <c r="K192" s="60">
        <v>0</v>
      </c>
      <c r="L192" s="109">
        <f t="shared" si="78"/>
        <v>53800</v>
      </c>
    </row>
    <row r="193" spans="1:12" ht="15">
      <c r="A193" s="10" t="s">
        <v>403</v>
      </c>
      <c r="B193" s="11" t="s">
        <v>404</v>
      </c>
      <c r="C193" s="108">
        <f t="shared" si="76"/>
        <v>1251176</v>
      </c>
      <c r="D193" s="12">
        <f>D194</f>
        <v>724104</v>
      </c>
      <c r="E193" s="59">
        <f aca="true" t="shared" si="81" ref="E193:K193">E194</f>
        <v>0</v>
      </c>
      <c r="F193" s="12">
        <f t="shared" si="81"/>
        <v>0</v>
      </c>
      <c r="G193" s="59">
        <f t="shared" si="81"/>
        <v>0</v>
      </c>
      <c r="H193" s="12">
        <f t="shared" si="81"/>
        <v>527072</v>
      </c>
      <c r="I193" s="59">
        <f t="shared" si="81"/>
        <v>0</v>
      </c>
      <c r="J193" s="12">
        <f t="shared" si="81"/>
        <v>0</v>
      </c>
      <c r="K193" s="59">
        <f t="shared" si="81"/>
        <v>0</v>
      </c>
      <c r="L193" s="108">
        <f t="shared" si="78"/>
        <v>1251176</v>
      </c>
    </row>
    <row r="194" spans="1:12" ht="32.25" customHeight="1">
      <c r="A194" s="16" t="s">
        <v>405</v>
      </c>
      <c r="B194" s="17" t="s">
        <v>475</v>
      </c>
      <c r="C194" s="109">
        <f t="shared" si="76"/>
        <v>1251176</v>
      </c>
      <c r="D194" s="18">
        <v>724104</v>
      </c>
      <c r="E194" s="60">
        <v>0</v>
      </c>
      <c r="F194" s="15">
        <v>0</v>
      </c>
      <c r="G194" s="60">
        <v>0</v>
      </c>
      <c r="H194" s="15">
        <f>526448+624</f>
        <v>527072</v>
      </c>
      <c r="I194" s="60">
        <v>0</v>
      </c>
      <c r="J194" s="15">
        <v>0</v>
      </c>
      <c r="K194" s="60">
        <v>0</v>
      </c>
      <c r="L194" s="109">
        <f t="shared" si="78"/>
        <v>1251176</v>
      </c>
    </row>
    <row r="195" spans="1:12" ht="25.5">
      <c r="A195" s="10" t="s">
        <v>406</v>
      </c>
      <c r="B195" s="11" t="s">
        <v>407</v>
      </c>
      <c r="C195" s="108">
        <f t="shared" si="76"/>
        <v>4425123</v>
      </c>
      <c r="D195" s="12">
        <f>SUM(D196:D204)</f>
        <v>4026659</v>
      </c>
      <c r="E195" s="59">
        <f aca="true" t="shared" si="82" ref="E195:K195">SUM(E196:E204)</f>
        <v>0</v>
      </c>
      <c r="F195" s="12">
        <f t="shared" si="82"/>
        <v>19604</v>
      </c>
      <c r="G195" s="59">
        <f t="shared" si="82"/>
        <v>0</v>
      </c>
      <c r="H195" s="12">
        <f t="shared" si="82"/>
        <v>378860</v>
      </c>
      <c r="I195" s="59">
        <f t="shared" si="82"/>
        <v>0</v>
      </c>
      <c r="J195" s="12">
        <f t="shared" si="82"/>
        <v>0</v>
      </c>
      <c r="K195" s="59">
        <f t="shared" si="82"/>
        <v>0</v>
      </c>
      <c r="L195" s="108">
        <f t="shared" si="78"/>
        <v>4425123</v>
      </c>
    </row>
    <row r="196" spans="1:12" ht="15">
      <c r="A196" s="16" t="s">
        <v>408</v>
      </c>
      <c r="B196" s="17" t="s">
        <v>409</v>
      </c>
      <c r="C196" s="109">
        <f aca="true" t="shared" si="83" ref="C196:C204">D196+F196+H196+J196</f>
        <v>18793</v>
      </c>
      <c r="D196" s="18">
        <v>18445</v>
      </c>
      <c r="E196" s="60">
        <v>0</v>
      </c>
      <c r="F196" s="15">
        <v>348</v>
      </c>
      <c r="G196" s="60">
        <v>0</v>
      </c>
      <c r="H196" s="15">
        <v>0</v>
      </c>
      <c r="I196" s="60">
        <v>0</v>
      </c>
      <c r="J196" s="15">
        <v>0</v>
      </c>
      <c r="K196" s="60">
        <v>0</v>
      </c>
      <c r="L196" s="109">
        <f aca="true" t="shared" si="84" ref="L196:L204">SUM(D196:K196)</f>
        <v>18793</v>
      </c>
    </row>
    <row r="197" spans="1:12" ht="51">
      <c r="A197" s="16" t="s">
        <v>410</v>
      </c>
      <c r="B197" s="17" t="s">
        <v>411</v>
      </c>
      <c r="C197" s="109">
        <f t="shared" si="83"/>
        <v>524709</v>
      </c>
      <c r="D197" s="18">
        <v>157852</v>
      </c>
      <c r="E197" s="60">
        <v>0</v>
      </c>
      <c r="F197" s="15">
        <v>0</v>
      </c>
      <c r="G197" s="60">
        <v>0</v>
      </c>
      <c r="H197" s="15">
        <f>340280+400+26177</f>
        <v>366857</v>
      </c>
      <c r="I197" s="60">
        <v>0</v>
      </c>
      <c r="J197" s="15">
        <v>0</v>
      </c>
      <c r="K197" s="60">
        <v>0</v>
      </c>
      <c r="L197" s="109">
        <f t="shared" si="84"/>
        <v>524709</v>
      </c>
    </row>
    <row r="198" spans="1:12" ht="15">
      <c r="A198" s="16" t="s">
        <v>412</v>
      </c>
      <c r="B198" s="17" t="s">
        <v>413</v>
      </c>
      <c r="C198" s="109">
        <f t="shared" si="83"/>
        <v>100436</v>
      </c>
      <c r="D198" s="18">
        <v>96454</v>
      </c>
      <c r="E198" s="60">
        <v>0</v>
      </c>
      <c r="F198" s="15">
        <v>3650</v>
      </c>
      <c r="G198" s="60">
        <v>0</v>
      </c>
      <c r="H198" s="15">
        <v>332</v>
      </c>
      <c r="I198" s="60">
        <v>0</v>
      </c>
      <c r="J198" s="15">
        <v>0</v>
      </c>
      <c r="K198" s="60">
        <v>0</v>
      </c>
      <c r="L198" s="109">
        <f t="shared" si="84"/>
        <v>100436</v>
      </c>
    </row>
    <row r="199" spans="1:12" ht="15">
      <c r="A199" s="16" t="s">
        <v>414</v>
      </c>
      <c r="B199" s="17" t="s">
        <v>415</v>
      </c>
      <c r="C199" s="109">
        <f t="shared" si="83"/>
        <v>18632</v>
      </c>
      <c r="D199" s="18">
        <v>15882</v>
      </c>
      <c r="E199" s="60">
        <v>0</v>
      </c>
      <c r="F199" s="15">
        <v>2750</v>
      </c>
      <c r="G199" s="60">
        <v>0</v>
      </c>
      <c r="H199" s="15">
        <v>0</v>
      </c>
      <c r="I199" s="60">
        <v>0</v>
      </c>
      <c r="J199" s="15">
        <v>0</v>
      </c>
      <c r="K199" s="60">
        <v>0</v>
      </c>
      <c r="L199" s="109">
        <f t="shared" si="84"/>
        <v>18632</v>
      </c>
    </row>
    <row r="200" spans="1:12" ht="15">
      <c r="A200" s="16" t="s">
        <v>416</v>
      </c>
      <c r="B200" s="17" t="s">
        <v>417</v>
      </c>
      <c r="C200" s="109">
        <f t="shared" si="83"/>
        <v>380081</v>
      </c>
      <c r="D200" s="18">
        <v>367063</v>
      </c>
      <c r="E200" s="60">
        <v>0</v>
      </c>
      <c r="F200" s="15">
        <v>12856</v>
      </c>
      <c r="G200" s="60">
        <v>0</v>
      </c>
      <c r="H200" s="15">
        <v>162</v>
      </c>
      <c r="I200" s="60">
        <v>0</v>
      </c>
      <c r="J200" s="15">
        <v>0</v>
      </c>
      <c r="K200" s="60">
        <v>0</v>
      </c>
      <c r="L200" s="109">
        <f t="shared" si="84"/>
        <v>380081</v>
      </c>
    </row>
    <row r="201" spans="1:12" ht="38.25">
      <c r="A201" s="16" t="s">
        <v>418</v>
      </c>
      <c r="B201" s="17" t="s">
        <v>443</v>
      </c>
      <c r="C201" s="109">
        <f t="shared" si="83"/>
        <v>2438683</v>
      </c>
      <c r="D201" s="18">
        <v>2427352</v>
      </c>
      <c r="E201" s="60">
        <v>0</v>
      </c>
      <c r="F201" s="15">
        <v>0</v>
      </c>
      <c r="G201" s="60">
        <v>0</v>
      </c>
      <c r="H201" s="15">
        <v>11331</v>
      </c>
      <c r="I201" s="60">
        <v>0</v>
      </c>
      <c r="J201" s="15">
        <v>0</v>
      </c>
      <c r="K201" s="60">
        <v>0</v>
      </c>
      <c r="L201" s="109">
        <f t="shared" si="84"/>
        <v>2438683</v>
      </c>
    </row>
    <row r="202" spans="1:12" ht="51">
      <c r="A202" s="16" t="s">
        <v>444</v>
      </c>
      <c r="B202" s="17" t="s">
        <v>445</v>
      </c>
      <c r="C202" s="109">
        <f t="shared" si="83"/>
        <v>822854</v>
      </c>
      <c r="D202" s="18">
        <v>822854</v>
      </c>
      <c r="E202" s="60">
        <v>0</v>
      </c>
      <c r="F202" s="15">
        <v>0</v>
      </c>
      <c r="G202" s="60">
        <v>0</v>
      </c>
      <c r="H202" s="15">
        <v>0</v>
      </c>
      <c r="I202" s="60">
        <v>0</v>
      </c>
      <c r="J202" s="15">
        <v>0</v>
      </c>
      <c r="K202" s="60">
        <v>0</v>
      </c>
      <c r="L202" s="109">
        <f t="shared" si="84"/>
        <v>822854</v>
      </c>
    </row>
    <row r="203" spans="1:12" ht="15">
      <c r="A203" s="117" t="s">
        <v>476</v>
      </c>
      <c r="B203" s="14" t="s">
        <v>477</v>
      </c>
      <c r="C203" s="109">
        <f t="shared" si="83"/>
        <v>120935</v>
      </c>
      <c r="D203" s="18">
        <v>120757</v>
      </c>
      <c r="E203" s="60">
        <v>0</v>
      </c>
      <c r="F203" s="15">
        <v>0</v>
      </c>
      <c r="G203" s="60">
        <v>0</v>
      </c>
      <c r="H203" s="15">
        <v>178</v>
      </c>
      <c r="I203" s="60">
        <v>0</v>
      </c>
      <c r="J203" s="15">
        <v>0</v>
      </c>
      <c r="K203" s="60">
        <v>0</v>
      </c>
      <c r="L203" s="109">
        <f t="shared" si="84"/>
        <v>120935</v>
      </c>
    </row>
    <row r="204" spans="1:12" ht="15" hidden="1">
      <c r="A204" s="120" t="s">
        <v>501</v>
      </c>
      <c r="B204" s="86" t="s">
        <v>502</v>
      </c>
      <c r="C204" s="110">
        <f t="shared" si="83"/>
        <v>0</v>
      </c>
      <c r="D204" s="88"/>
      <c r="E204" s="89"/>
      <c r="F204" s="88"/>
      <c r="G204" s="89"/>
      <c r="H204" s="88"/>
      <c r="I204" s="89"/>
      <c r="J204" s="88"/>
      <c r="K204" s="89"/>
      <c r="L204" s="110">
        <f t="shared" si="84"/>
        <v>0</v>
      </c>
    </row>
    <row r="205" spans="1:12" ht="25.5">
      <c r="A205" s="10" t="s">
        <v>419</v>
      </c>
      <c r="B205" s="11" t="s">
        <v>420</v>
      </c>
      <c r="C205" s="108">
        <f aca="true" t="shared" si="85" ref="C205:C217">D205+F205+H205+J205</f>
        <v>2439456</v>
      </c>
      <c r="D205" s="12">
        <f>SUM(D206:D209)</f>
        <v>2062711</v>
      </c>
      <c r="E205" s="61">
        <f aca="true" t="shared" si="86" ref="E205:K205">SUM(E206:E209)</f>
        <v>0</v>
      </c>
      <c r="F205" s="23">
        <f t="shared" si="86"/>
        <v>1131</v>
      </c>
      <c r="G205" s="61">
        <f t="shared" si="86"/>
        <v>0</v>
      </c>
      <c r="H205" s="23">
        <f t="shared" si="86"/>
        <v>375614</v>
      </c>
      <c r="I205" s="61">
        <f t="shared" si="86"/>
        <v>0</v>
      </c>
      <c r="J205" s="23">
        <f t="shared" si="86"/>
        <v>0</v>
      </c>
      <c r="K205" s="59">
        <f t="shared" si="86"/>
        <v>0</v>
      </c>
      <c r="L205" s="108">
        <f aca="true" t="shared" si="87" ref="L205:L212">SUM(D205:K205)</f>
        <v>2439456</v>
      </c>
    </row>
    <row r="206" spans="1:12" ht="25.5">
      <c r="A206" s="16" t="s">
        <v>421</v>
      </c>
      <c r="B206" s="17" t="s">
        <v>422</v>
      </c>
      <c r="C206" s="109">
        <f t="shared" si="85"/>
        <v>1736843</v>
      </c>
      <c r="D206" s="18">
        <v>1672428</v>
      </c>
      <c r="E206" s="60">
        <v>0</v>
      </c>
      <c r="F206" s="15">
        <v>1131</v>
      </c>
      <c r="G206" s="60">
        <v>0</v>
      </c>
      <c r="H206" s="15">
        <v>63284</v>
      </c>
      <c r="I206" s="60">
        <v>0</v>
      </c>
      <c r="J206" s="15">
        <v>0</v>
      </c>
      <c r="K206" s="60">
        <v>0</v>
      </c>
      <c r="L206" s="109">
        <f t="shared" si="87"/>
        <v>1736843</v>
      </c>
    </row>
    <row r="207" spans="1:12" ht="25.5">
      <c r="A207" s="16" t="s">
        <v>423</v>
      </c>
      <c r="B207" s="17" t="s">
        <v>424</v>
      </c>
      <c r="C207" s="109">
        <f t="shared" si="85"/>
        <v>100613</v>
      </c>
      <c r="D207" s="18">
        <v>8283</v>
      </c>
      <c r="E207" s="60">
        <v>0</v>
      </c>
      <c r="F207" s="15">
        <v>0</v>
      </c>
      <c r="G207" s="60">
        <v>0</v>
      </c>
      <c r="H207" s="15">
        <v>92330</v>
      </c>
      <c r="I207" s="60">
        <v>0</v>
      </c>
      <c r="J207" s="15">
        <v>0</v>
      </c>
      <c r="K207" s="60">
        <v>0</v>
      </c>
      <c r="L207" s="109">
        <f t="shared" si="87"/>
        <v>100613</v>
      </c>
    </row>
    <row r="208" spans="1:12" ht="25.5">
      <c r="A208" s="16" t="s">
        <v>425</v>
      </c>
      <c r="B208" s="17" t="s">
        <v>426</v>
      </c>
      <c r="C208" s="109">
        <f t="shared" si="85"/>
        <v>382000</v>
      </c>
      <c r="D208" s="18">
        <v>382000</v>
      </c>
      <c r="E208" s="60">
        <v>0</v>
      </c>
      <c r="F208" s="18">
        <v>0</v>
      </c>
      <c r="G208" s="60">
        <v>0</v>
      </c>
      <c r="H208" s="18">
        <v>0</v>
      </c>
      <c r="I208" s="60">
        <v>0</v>
      </c>
      <c r="J208" s="18">
        <v>0</v>
      </c>
      <c r="K208" s="60">
        <v>0</v>
      </c>
      <c r="L208" s="109">
        <f t="shared" si="87"/>
        <v>382000</v>
      </c>
    </row>
    <row r="209" spans="1:12" ht="38.25">
      <c r="A209" s="13" t="s">
        <v>491</v>
      </c>
      <c r="B209" s="14" t="s">
        <v>492</v>
      </c>
      <c r="C209" s="109">
        <f t="shared" si="85"/>
        <v>220000</v>
      </c>
      <c r="D209" s="15">
        <v>0</v>
      </c>
      <c r="E209" s="60">
        <v>0</v>
      </c>
      <c r="F209" s="15">
        <v>0</v>
      </c>
      <c r="G209" s="60">
        <v>0</v>
      </c>
      <c r="H209" s="15">
        <v>220000</v>
      </c>
      <c r="I209" s="60">
        <v>0</v>
      </c>
      <c r="J209" s="15">
        <v>0</v>
      </c>
      <c r="K209" s="60">
        <v>0</v>
      </c>
      <c r="L209" s="109">
        <f t="shared" si="87"/>
        <v>220000</v>
      </c>
    </row>
    <row r="210" spans="1:12" ht="15">
      <c r="A210" s="54"/>
      <c r="B210" s="121" t="s">
        <v>166</v>
      </c>
      <c r="C210" s="9">
        <f t="shared" si="85"/>
        <v>5972697</v>
      </c>
      <c r="D210" s="9">
        <f>D211+D212+D218</f>
        <v>5153753</v>
      </c>
      <c r="E210" s="82">
        <f aca="true" t="shared" si="88" ref="E210:K210">E211+E212+E218</f>
        <v>-191765</v>
      </c>
      <c r="F210" s="9">
        <f t="shared" si="88"/>
        <v>0</v>
      </c>
      <c r="G210" s="82">
        <f t="shared" si="88"/>
        <v>0</v>
      </c>
      <c r="H210" s="9">
        <f t="shared" si="88"/>
        <v>818944</v>
      </c>
      <c r="I210" s="82">
        <f t="shared" si="88"/>
        <v>0</v>
      </c>
      <c r="J210" s="9">
        <f t="shared" si="88"/>
        <v>0</v>
      </c>
      <c r="K210" s="82">
        <f t="shared" si="88"/>
        <v>0</v>
      </c>
      <c r="L210" s="9">
        <f t="shared" si="87"/>
        <v>5780932</v>
      </c>
    </row>
    <row r="211" spans="1:12" ht="15">
      <c r="A211" s="10" t="s">
        <v>167</v>
      </c>
      <c r="B211" s="11" t="s">
        <v>168</v>
      </c>
      <c r="C211" s="108">
        <f t="shared" si="85"/>
        <v>4893582</v>
      </c>
      <c r="D211" s="12">
        <v>4539763</v>
      </c>
      <c r="E211" s="60">
        <v>0</v>
      </c>
      <c r="F211" s="23">
        <v>0</v>
      </c>
      <c r="G211" s="60">
        <v>0</v>
      </c>
      <c r="H211" s="23">
        <v>353819</v>
      </c>
      <c r="I211" s="60">
        <v>0</v>
      </c>
      <c r="J211" s="23">
        <v>0</v>
      </c>
      <c r="K211" s="60">
        <v>0</v>
      </c>
      <c r="L211" s="108">
        <f t="shared" si="87"/>
        <v>4893582</v>
      </c>
    </row>
    <row r="212" spans="1:12" ht="25.5">
      <c r="A212" s="10" t="s">
        <v>169</v>
      </c>
      <c r="B212" s="11" t="s">
        <v>170</v>
      </c>
      <c r="C212" s="108">
        <f t="shared" si="85"/>
        <v>844213</v>
      </c>
      <c r="D212" s="12">
        <f>SUM(D213:D217)</f>
        <v>379088</v>
      </c>
      <c r="E212" s="61">
        <f aca="true" t="shared" si="89" ref="E212:K212">SUM(E213:E217)</f>
        <v>0</v>
      </c>
      <c r="F212" s="23">
        <f t="shared" si="89"/>
        <v>0</v>
      </c>
      <c r="G212" s="61">
        <f t="shared" si="89"/>
        <v>0</v>
      </c>
      <c r="H212" s="23">
        <f t="shared" si="89"/>
        <v>465125</v>
      </c>
      <c r="I212" s="61">
        <f t="shared" si="89"/>
        <v>0</v>
      </c>
      <c r="J212" s="23">
        <f t="shared" si="89"/>
        <v>0</v>
      </c>
      <c r="K212" s="59">
        <f t="shared" si="89"/>
        <v>0</v>
      </c>
      <c r="L212" s="108">
        <f t="shared" si="87"/>
        <v>844213</v>
      </c>
    </row>
    <row r="213" spans="1:12" ht="25.5" hidden="1">
      <c r="A213" s="122"/>
      <c r="B213" s="26" t="s">
        <v>427</v>
      </c>
      <c r="C213" s="110">
        <f t="shared" si="85"/>
        <v>0</v>
      </c>
      <c r="D213" s="27"/>
      <c r="E213" s="123"/>
      <c r="F213" s="27"/>
      <c r="G213" s="123"/>
      <c r="H213" s="27"/>
      <c r="I213" s="123"/>
      <c r="J213" s="27"/>
      <c r="K213" s="123"/>
      <c r="L213" s="110">
        <f aca="true" t="shared" si="90" ref="L213:L218">SUM(D213:K213)</f>
        <v>0</v>
      </c>
    </row>
    <row r="214" spans="1:12" ht="63.75">
      <c r="A214" s="359"/>
      <c r="B214" s="14" t="s">
        <v>966</v>
      </c>
      <c r="C214" s="109">
        <f t="shared" si="85"/>
        <v>465125</v>
      </c>
      <c r="D214" s="15">
        <v>0</v>
      </c>
      <c r="E214" s="60">
        <v>0</v>
      </c>
      <c r="F214" s="15">
        <v>0</v>
      </c>
      <c r="G214" s="60">
        <v>0</v>
      </c>
      <c r="H214" s="15">
        <v>465125</v>
      </c>
      <c r="I214" s="60">
        <v>0</v>
      </c>
      <c r="J214" s="15">
        <v>0</v>
      </c>
      <c r="K214" s="60">
        <v>0</v>
      </c>
      <c r="L214" s="109">
        <f t="shared" si="90"/>
        <v>465125</v>
      </c>
    </row>
    <row r="215" spans="1:12" ht="15">
      <c r="A215" s="37"/>
      <c r="B215" s="17" t="s">
        <v>172</v>
      </c>
      <c r="C215" s="109">
        <f t="shared" si="85"/>
        <v>379088</v>
      </c>
      <c r="D215" s="18">
        <v>379088</v>
      </c>
      <c r="E215" s="60">
        <v>0</v>
      </c>
      <c r="F215" s="15">
        <v>0</v>
      </c>
      <c r="G215" s="60">
        <v>0</v>
      </c>
      <c r="H215" s="15">
        <v>0</v>
      </c>
      <c r="I215" s="81">
        <v>0</v>
      </c>
      <c r="J215" s="18">
        <v>0</v>
      </c>
      <c r="K215" s="81">
        <v>0</v>
      </c>
      <c r="L215" s="109">
        <f t="shared" si="90"/>
        <v>379088</v>
      </c>
    </row>
    <row r="216" spans="1:12" ht="15" hidden="1">
      <c r="A216" s="122"/>
      <c r="B216" s="26" t="s">
        <v>173</v>
      </c>
      <c r="C216" s="110">
        <f t="shared" si="85"/>
        <v>0</v>
      </c>
      <c r="D216" s="27"/>
      <c r="E216" s="123"/>
      <c r="F216" s="27"/>
      <c r="G216" s="123"/>
      <c r="H216" s="27"/>
      <c r="I216" s="123"/>
      <c r="J216" s="27"/>
      <c r="K216" s="123"/>
      <c r="L216" s="110">
        <f t="shared" si="90"/>
        <v>0</v>
      </c>
    </row>
    <row r="217" spans="1:12" ht="15" hidden="1">
      <c r="A217" s="122"/>
      <c r="B217" s="26" t="s">
        <v>174</v>
      </c>
      <c r="C217" s="110">
        <f t="shared" si="85"/>
        <v>0</v>
      </c>
      <c r="D217" s="27"/>
      <c r="E217" s="123"/>
      <c r="F217" s="27"/>
      <c r="G217" s="123"/>
      <c r="H217" s="27"/>
      <c r="I217" s="123"/>
      <c r="J217" s="27"/>
      <c r="K217" s="123"/>
      <c r="L217" s="110">
        <f t="shared" si="90"/>
        <v>0</v>
      </c>
    </row>
    <row r="218" spans="1:12" ht="25.5">
      <c r="A218" s="10" t="s">
        <v>139</v>
      </c>
      <c r="B218" s="11" t="s">
        <v>175</v>
      </c>
      <c r="C218" s="108">
        <f>D218+F218+H218+J218</f>
        <v>234902</v>
      </c>
      <c r="D218" s="124">
        <f>69513-233852+182390+216851</f>
        <v>234902</v>
      </c>
      <c r="E218" s="60">
        <v>-191765</v>
      </c>
      <c r="F218" s="32">
        <v>0</v>
      </c>
      <c r="G218" s="125">
        <v>0</v>
      </c>
      <c r="H218" s="32">
        <f>129065+53325-182390</f>
        <v>0</v>
      </c>
      <c r="I218" s="125">
        <v>0</v>
      </c>
      <c r="J218" s="124">
        <v>0</v>
      </c>
      <c r="K218" s="126">
        <v>0</v>
      </c>
      <c r="L218" s="109">
        <f t="shared" si="90"/>
        <v>43137</v>
      </c>
    </row>
    <row r="219" spans="1:12" ht="15">
      <c r="A219" s="127"/>
      <c r="B219" s="128" t="s">
        <v>428</v>
      </c>
      <c r="C219" s="129">
        <f>C11+C210</f>
        <v>127053401</v>
      </c>
      <c r="D219" s="129">
        <f aca="true" t="shared" si="91" ref="D219:L219">D11+D210</f>
        <v>93470978</v>
      </c>
      <c r="E219" s="130">
        <f t="shared" si="91"/>
        <v>1086665</v>
      </c>
      <c r="F219" s="129">
        <f t="shared" si="91"/>
        <v>2800257</v>
      </c>
      <c r="G219" s="130">
        <f t="shared" si="91"/>
        <v>0</v>
      </c>
      <c r="H219" s="129">
        <f t="shared" si="91"/>
        <v>29933338</v>
      </c>
      <c r="I219" s="130">
        <f t="shared" si="91"/>
        <v>55450</v>
      </c>
      <c r="J219" s="129">
        <f t="shared" si="91"/>
        <v>848828</v>
      </c>
      <c r="K219" s="130">
        <f t="shared" si="91"/>
        <v>0</v>
      </c>
      <c r="L219" s="129">
        <f t="shared" si="91"/>
        <v>128195516</v>
      </c>
    </row>
    <row r="220" spans="1:11" ht="15">
      <c r="A220" s="95"/>
      <c r="B220" s="96"/>
      <c r="C220" s="111"/>
      <c r="D220" s="95"/>
      <c r="E220" s="97"/>
      <c r="F220" s="95"/>
      <c r="G220" s="97"/>
      <c r="H220" s="95"/>
      <c r="I220" s="97"/>
      <c r="J220" s="95"/>
      <c r="K220" s="97"/>
    </row>
    <row r="221" spans="1:13" ht="18.75">
      <c r="A221" s="424"/>
      <c r="B221" s="437" t="s">
        <v>996</v>
      </c>
      <c r="C221" s="437"/>
      <c r="D221" s="437"/>
      <c r="E221" s="437"/>
      <c r="F221" s="437"/>
      <c r="G221" s="437"/>
      <c r="H221" s="437"/>
      <c r="I221" s="437"/>
      <c r="J221" s="437"/>
      <c r="K221" s="437"/>
      <c r="L221" s="437"/>
      <c r="M221" s="63"/>
    </row>
    <row r="222" spans="1:11" ht="15">
      <c r="A222" s="95"/>
      <c r="B222" s="96"/>
      <c r="D222" s="95"/>
      <c r="E222" s="97"/>
      <c r="F222" s="95"/>
      <c r="G222" s="97"/>
      <c r="H222" s="95"/>
      <c r="I222" s="97"/>
      <c r="J222" s="95"/>
      <c r="K222" s="97"/>
    </row>
    <row r="223" spans="1:11" ht="15">
      <c r="A223" s="95"/>
      <c r="B223" s="96"/>
      <c r="D223" s="95"/>
      <c r="E223" s="104"/>
      <c r="F223" s="95"/>
      <c r="G223" s="97"/>
      <c r="H223" s="95"/>
      <c r="I223" s="97"/>
      <c r="J223" s="95"/>
      <c r="K223" s="97"/>
    </row>
    <row r="224" spans="1:11" ht="15">
      <c r="A224" s="95"/>
      <c r="D224" s="95"/>
      <c r="E224" s="97"/>
      <c r="F224" s="95"/>
      <c r="G224" s="97"/>
      <c r="H224" s="95"/>
      <c r="I224" s="97"/>
      <c r="J224" s="95"/>
      <c r="K224" s="97"/>
    </row>
    <row r="225" spans="1:11" ht="15">
      <c r="A225" s="95"/>
      <c r="D225" s="95"/>
      <c r="E225" s="97"/>
      <c r="F225" s="95"/>
      <c r="G225" s="97"/>
      <c r="H225" s="95"/>
      <c r="I225" s="97"/>
      <c r="J225" s="95"/>
      <c r="K225" s="97"/>
    </row>
    <row r="226" spans="1:11" ht="15">
      <c r="A226" s="95"/>
      <c r="D226" s="95"/>
      <c r="E226" s="97"/>
      <c r="F226" s="95"/>
      <c r="G226" s="97"/>
      <c r="H226" s="95"/>
      <c r="I226" s="97"/>
      <c r="J226" s="95"/>
      <c r="K226" s="97"/>
    </row>
    <row r="227" spans="1:11" ht="15">
      <c r="A227" s="95"/>
      <c r="D227" s="95"/>
      <c r="E227" s="97"/>
      <c r="F227" s="95"/>
      <c r="G227" s="97"/>
      <c r="H227" s="95"/>
      <c r="I227" s="97"/>
      <c r="J227" s="95"/>
      <c r="K227" s="97"/>
    </row>
    <row r="228" spans="1:11" ht="15">
      <c r="A228" s="95"/>
      <c r="D228" s="95"/>
      <c r="E228" s="97"/>
      <c r="F228" s="95"/>
      <c r="G228" s="97"/>
      <c r="H228" s="95"/>
      <c r="I228" s="97"/>
      <c r="J228" s="95"/>
      <c r="K228" s="97"/>
    </row>
    <row r="229" spans="1:11" ht="15">
      <c r="A229" s="95"/>
      <c r="B229" s="96"/>
      <c r="D229" s="95"/>
      <c r="E229" s="97"/>
      <c r="F229" s="95"/>
      <c r="G229" s="97"/>
      <c r="H229" s="95"/>
      <c r="I229" s="97"/>
      <c r="J229" s="95"/>
      <c r="K229" s="97"/>
    </row>
    <row r="230" spans="1:11" ht="15">
      <c r="A230" s="95"/>
      <c r="B230" s="96"/>
      <c r="D230" s="95"/>
      <c r="E230" s="97"/>
      <c r="F230" s="95"/>
      <c r="G230" s="97"/>
      <c r="H230" s="95"/>
      <c r="I230" s="97"/>
      <c r="J230" s="95"/>
      <c r="K230" s="97"/>
    </row>
    <row r="231" spans="1:11" ht="15">
      <c r="A231" s="95"/>
      <c r="B231" s="96"/>
      <c r="D231" s="95"/>
      <c r="E231" s="97"/>
      <c r="F231" s="95"/>
      <c r="G231" s="97"/>
      <c r="H231" s="95"/>
      <c r="I231" s="97"/>
      <c r="J231" s="95"/>
      <c r="K231" s="97"/>
    </row>
    <row r="232" spans="1:11" ht="15">
      <c r="A232" s="95"/>
      <c r="B232" s="96"/>
      <c r="D232" s="95"/>
      <c r="E232" s="97"/>
      <c r="F232" s="95"/>
      <c r="G232" s="97"/>
      <c r="H232" s="95"/>
      <c r="I232" s="97"/>
      <c r="J232" s="95"/>
      <c r="K232" s="97"/>
    </row>
    <row r="233" spans="1:11" ht="15">
      <c r="A233" s="95"/>
      <c r="B233" s="96"/>
      <c r="D233" s="95"/>
      <c r="E233" s="97"/>
      <c r="F233" s="95"/>
      <c r="G233" s="97"/>
      <c r="H233" s="95"/>
      <c r="I233" s="97"/>
      <c r="J233" s="95"/>
      <c r="K233" s="97"/>
    </row>
    <row r="234" spans="1:11" ht="15">
      <c r="A234" s="95"/>
      <c r="B234" s="96"/>
      <c r="D234" s="95"/>
      <c r="E234" s="97"/>
      <c r="F234" s="95"/>
      <c r="G234" s="97"/>
      <c r="H234" s="95"/>
      <c r="I234" s="97"/>
      <c r="J234" s="95"/>
      <c r="K234" s="97"/>
    </row>
    <row r="235" spans="1:11" ht="15">
      <c r="A235" s="95"/>
      <c r="B235" s="96"/>
      <c r="D235" s="95"/>
      <c r="E235" s="97"/>
      <c r="F235" s="95"/>
      <c r="G235" s="97"/>
      <c r="H235" s="95"/>
      <c r="I235" s="97"/>
      <c r="J235" s="95"/>
      <c r="K235" s="97"/>
    </row>
    <row r="236" spans="1:11" ht="15">
      <c r="A236" s="95"/>
      <c r="B236" s="96"/>
      <c r="D236" s="95"/>
      <c r="E236" s="97"/>
      <c r="F236" s="95"/>
      <c r="G236" s="97"/>
      <c r="H236" s="95"/>
      <c r="I236" s="97"/>
      <c r="J236" s="95"/>
      <c r="K236" s="97"/>
    </row>
    <row r="237" spans="1:11" ht="15">
      <c r="A237" s="95"/>
      <c r="B237" s="96"/>
      <c r="D237" s="95"/>
      <c r="E237" s="97"/>
      <c r="F237" s="95"/>
      <c r="G237" s="97"/>
      <c r="H237" s="95"/>
      <c r="I237" s="97"/>
      <c r="J237" s="95"/>
      <c r="K237" s="97"/>
    </row>
    <row r="238" spans="1:11" ht="15">
      <c r="A238" s="95"/>
      <c r="B238" s="96"/>
      <c r="D238" s="95"/>
      <c r="E238" s="97"/>
      <c r="F238" s="95"/>
      <c r="G238" s="97"/>
      <c r="H238" s="95"/>
      <c r="I238" s="97"/>
      <c r="J238" s="95"/>
      <c r="K238" s="97"/>
    </row>
    <row r="239" spans="1:11" ht="15">
      <c r="A239" s="95"/>
      <c r="B239" s="96"/>
      <c r="D239" s="95"/>
      <c r="E239" s="97"/>
      <c r="F239" s="95"/>
      <c r="G239" s="97"/>
      <c r="H239" s="95"/>
      <c r="I239" s="97"/>
      <c r="J239" s="95"/>
      <c r="K239" s="97"/>
    </row>
    <row r="240" spans="1:11" ht="15">
      <c r="A240" s="95"/>
      <c r="B240" s="96"/>
      <c r="D240" s="95"/>
      <c r="E240" s="97"/>
      <c r="F240" s="95"/>
      <c r="G240" s="97"/>
      <c r="H240" s="95"/>
      <c r="I240" s="97"/>
      <c r="J240" s="95"/>
      <c r="K240" s="97"/>
    </row>
    <row r="241" spans="1:11" ht="15">
      <c r="A241" s="95"/>
      <c r="B241" s="96"/>
      <c r="D241" s="95"/>
      <c r="E241" s="97"/>
      <c r="F241" s="95"/>
      <c r="G241" s="97"/>
      <c r="H241" s="95"/>
      <c r="I241" s="97"/>
      <c r="J241" s="95"/>
      <c r="K241" s="97"/>
    </row>
    <row r="242" spans="1:11" ht="15">
      <c r="A242" s="95"/>
      <c r="B242" s="96"/>
      <c r="D242" s="95"/>
      <c r="E242" s="97"/>
      <c r="F242" s="95"/>
      <c r="G242" s="97"/>
      <c r="H242" s="95"/>
      <c r="I242" s="97"/>
      <c r="J242" s="95"/>
      <c r="K242" s="97"/>
    </row>
    <row r="243" spans="1:11" ht="15">
      <c r="A243" s="95"/>
      <c r="B243" s="96"/>
      <c r="D243" s="95"/>
      <c r="E243" s="97"/>
      <c r="F243" s="95"/>
      <c r="G243" s="97"/>
      <c r="H243" s="95"/>
      <c r="I243" s="97"/>
      <c r="J243" s="95"/>
      <c r="K243" s="97"/>
    </row>
    <row r="244" spans="1:11" ht="15">
      <c r="A244" s="95"/>
      <c r="B244" s="96"/>
      <c r="D244" s="95"/>
      <c r="E244" s="97"/>
      <c r="F244" s="95"/>
      <c r="G244" s="97"/>
      <c r="H244" s="95"/>
      <c r="I244" s="97"/>
      <c r="J244" s="95"/>
      <c r="K244" s="97"/>
    </row>
    <row r="245" spans="1:11" ht="15">
      <c r="A245" s="95"/>
      <c r="B245" s="96"/>
      <c r="D245" s="95"/>
      <c r="E245" s="97"/>
      <c r="F245" s="95"/>
      <c r="G245" s="97"/>
      <c r="H245" s="95"/>
      <c r="I245" s="97"/>
      <c r="J245" s="95"/>
      <c r="K245" s="97"/>
    </row>
    <row r="246" spans="1:11" ht="15">
      <c r="A246" s="95"/>
      <c r="B246" s="96"/>
      <c r="D246" s="95"/>
      <c r="E246" s="97"/>
      <c r="F246" s="95"/>
      <c r="G246" s="97"/>
      <c r="H246" s="95"/>
      <c r="I246" s="97"/>
      <c r="J246" s="95"/>
      <c r="K246" s="97"/>
    </row>
    <row r="247" spans="1:11" ht="15">
      <c r="A247" s="95"/>
      <c r="B247" s="96"/>
      <c r="D247" s="95"/>
      <c r="E247" s="97"/>
      <c r="F247" s="95"/>
      <c r="G247" s="97"/>
      <c r="H247" s="95"/>
      <c r="I247" s="97"/>
      <c r="J247" s="95"/>
      <c r="K247" s="97"/>
    </row>
    <row r="248" spans="1:11" ht="15">
      <c r="A248" s="95"/>
      <c r="B248" s="96"/>
      <c r="D248" s="95"/>
      <c r="E248" s="97"/>
      <c r="F248" s="95"/>
      <c r="G248" s="97"/>
      <c r="H248" s="95"/>
      <c r="I248" s="97"/>
      <c r="J248" s="95"/>
      <c r="K248" s="97"/>
    </row>
    <row r="249" spans="1:11" ht="15">
      <c r="A249" s="95"/>
      <c r="B249" s="96"/>
      <c r="D249" s="95"/>
      <c r="E249" s="97"/>
      <c r="F249" s="95"/>
      <c r="G249" s="97"/>
      <c r="H249" s="95"/>
      <c r="I249" s="97"/>
      <c r="J249" s="95"/>
      <c r="K249" s="97"/>
    </row>
    <row r="250" spans="1:11" ht="15">
      <c r="A250" s="95"/>
      <c r="B250" s="96"/>
      <c r="D250" s="95"/>
      <c r="E250" s="97"/>
      <c r="F250" s="95"/>
      <c r="G250" s="97"/>
      <c r="H250" s="95"/>
      <c r="I250" s="97"/>
      <c r="J250" s="95"/>
      <c r="K250" s="97"/>
    </row>
    <row r="251" spans="1:11" ht="15">
      <c r="A251" s="95"/>
      <c r="B251" s="96"/>
      <c r="D251" s="95"/>
      <c r="E251" s="97"/>
      <c r="F251" s="95"/>
      <c r="G251" s="97"/>
      <c r="H251" s="95"/>
      <c r="I251" s="97"/>
      <c r="J251" s="95"/>
      <c r="K251" s="97"/>
    </row>
  </sheetData>
  <sheetProtection/>
  <mergeCells count="9">
    <mergeCell ref="B221:L221"/>
    <mergeCell ref="H2:K2"/>
    <mergeCell ref="L8:L9"/>
    <mergeCell ref="D8:K8"/>
    <mergeCell ref="A5:L5"/>
    <mergeCell ref="A6:L6"/>
    <mergeCell ref="A8:A9"/>
    <mergeCell ref="B8:B9"/>
    <mergeCell ref="C8:C9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86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829"/>
  <sheetViews>
    <sheetView showGridLines="0" zoomScalePageLayoutView="0" workbookViewId="0" topLeftCell="A1">
      <selection activeCell="C7" sqref="C7"/>
    </sheetView>
  </sheetViews>
  <sheetFormatPr defaultColWidth="9.140625" defaultRowHeight="15"/>
  <cols>
    <col min="1" max="1" width="9.57421875" style="365" customWidth="1"/>
    <col min="2" max="2" width="42.28125" style="365" customWidth="1"/>
    <col min="3" max="3" width="14.8515625" style="378" customWidth="1"/>
    <col min="4" max="4" width="15.28125" style="378" customWidth="1"/>
    <col min="5" max="5" width="18.421875" style="378" customWidth="1"/>
    <col min="6" max="16384" width="9.140625" style="365" customWidth="1"/>
  </cols>
  <sheetData>
    <row r="1" spans="1:5" ht="15.75">
      <c r="A1" s="361"/>
      <c r="B1" s="362"/>
      <c r="C1" s="371"/>
      <c r="D1" s="371"/>
      <c r="E1" s="371"/>
    </row>
    <row r="2" spans="1:5" ht="15.75">
      <c r="A2" s="362"/>
      <c r="B2" s="362"/>
      <c r="C2" s="363"/>
      <c r="D2" s="363"/>
      <c r="E2" s="364" t="s">
        <v>1009</v>
      </c>
    </row>
    <row r="3" spans="1:5" ht="15.75" customHeight="1">
      <c r="A3" s="362"/>
      <c r="B3" s="362"/>
      <c r="C3" s="454" t="s">
        <v>1008</v>
      </c>
      <c r="D3" s="455"/>
      <c r="E3" s="455"/>
    </row>
    <row r="4" spans="1:5" ht="15.75" customHeight="1">
      <c r="A4" s="362"/>
      <c r="B4" s="362"/>
      <c r="C4" s="454" t="s">
        <v>992</v>
      </c>
      <c r="D4" s="455"/>
      <c r="E4" s="455"/>
    </row>
    <row r="5" spans="1:5" ht="12.75">
      <c r="A5" s="362"/>
      <c r="B5" s="362"/>
      <c r="C5" s="371"/>
      <c r="D5" s="371"/>
      <c r="E5" s="371"/>
    </row>
    <row r="6" spans="1:5" ht="56.25" customHeight="1">
      <c r="A6" s="456" t="s">
        <v>1010</v>
      </c>
      <c r="B6" s="457"/>
      <c r="C6" s="457"/>
      <c r="D6" s="457"/>
      <c r="E6" s="457"/>
    </row>
    <row r="7" spans="1:5" ht="28.5" customHeight="1">
      <c r="A7" s="458" t="s">
        <v>958</v>
      </c>
      <c r="B7" s="459"/>
      <c r="C7" s="388" t="s">
        <v>1011</v>
      </c>
      <c r="D7" s="388" t="s">
        <v>959</v>
      </c>
      <c r="E7" s="388" t="s">
        <v>984</v>
      </c>
    </row>
    <row r="8" spans="1:5" ht="12.75">
      <c r="A8" s="367"/>
      <c r="B8" s="367"/>
      <c r="C8" s="372"/>
      <c r="D8" s="372"/>
      <c r="E8" s="372"/>
    </row>
    <row r="9" spans="1:5" ht="15.75" customHeight="1">
      <c r="A9" s="451" t="s">
        <v>957</v>
      </c>
      <c r="B9" s="446"/>
      <c r="C9" s="446"/>
      <c r="D9" s="446"/>
      <c r="E9" s="446"/>
    </row>
    <row r="10" spans="1:5" ht="14.25">
      <c r="A10" s="367"/>
      <c r="B10" s="368" t="s">
        <v>818</v>
      </c>
      <c r="C10" s="389">
        <f>30784611+2897532</f>
        <v>33682143</v>
      </c>
      <c r="D10" s="389">
        <v>0</v>
      </c>
      <c r="E10" s="389">
        <f>34130562-465125+16706</f>
        <v>33682143</v>
      </c>
    </row>
    <row r="11" spans="1:5" ht="14.25">
      <c r="A11" s="367"/>
      <c r="B11" s="368" t="s">
        <v>817</v>
      </c>
      <c r="C11" s="389">
        <v>4191783</v>
      </c>
      <c r="D11" s="389">
        <v>0</v>
      </c>
      <c r="E11" s="389">
        <v>4191783</v>
      </c>
    </row>
    <row r="12" spans="1:5" ht="14.25">
      <c r="A12" s="367"/>
      <c r="B12" s="368" t="s">
        <v>816</v>
      </c>
      <c r="C12" s="389">
        <f>2937262+69635</f>
        <v>3006897</v>
      </c>
      <c r="D12" s="389">
        <v>0</v>
      </c>
      <c r="E12" s="389">
        <f>2990191+16706</f>
        <v>3006897</v>
      </c>
    </row>
    <row r="13" spans="1:5" ht="14.25">
      <c r="A13" s="367"/>
      <c r="B13" s="368" t="s">
        <v>815</v>
      </c>
      <c r="C13" s="389">
        <v>46000</v>
      </c>
      <c r="D13" s="389">
        <v>0</v>
      </c>
      <c r="E13" s="389">
        <v>46000</v>
      </c>
    </row>
    <row r="14" spans="1:5" ht="14.25">
      <c r="A14" s="367"/>
      <c r="B14" s="368" t="s">
        <v>813</v>
      </c>
      <c r="C14" s="389">
        <f>22919368+2823552</f>
        <v>25742920</v>
      </c>
      <c r="D14" s="389">
        <v>0</v>
      </c>
      <c r="E14" s="389">
        <v>25742920</v>
      </c>
    </row>
    <row r="15" spans="1:5" ht="14.25">
      <c r="A15" s="367"/>
      <c r="B15" s="368" t="s">
        <v>812</v>
      </c>
      <c r="C15" s="389">
        <f>213504+4345</f>
        <v>217849</v>
      </c>
      <c r="D15" s="389">
        <v>0</v>
      </c>
      <c r="E15" s="389">
        <v>217849</v>
      </c>
    </row>
    <row r="16" spans="1:5" ht="30.75" customHeight="1">
      <c r="A16" s="367"/>
      <c r="B16" s="368" t="s">
        <v>811</v>
      </c>
      <c r="C16" s="389">
        <v>476694</v>
      </c>
      <c r="D16" s="389">
        <v>0</v>
      </c>
      <c r="E16" s="389">
        <v>476694</v>
      </c>
    </row>
    <row r="17" spans="1:5" ht="15" customHeight="1" hidden="1">
      <c r="A17" s="385"/>
      <c r="B17" s="386"/>
      <c r="C17" s="387"/>
      <c r="D17" s="387"/>
      <c r="E17" s="387"/>
    </row>
    <row r="19" spans="1:5" ht="15.75" customHeight="1">
      <c r="A19" s="447" t="s">
        <v>956</v>
      </c>
      <c r="B19" s="449"/>
      <c r="C19" s="449"/>
      <c r="D19" s="449"/>
      <c r="E19" s="449"/>
    </row>
    <row r="20" spans="2:5" s="369" customFormat="1" ht="14.25">
      <c r="B20" s="370" t="s">
        <v>818</v>
      </c>
      <c r="C20" s="390">
        <f>4892173+16706</f>
        <v>4908879</v>
      </c>
      <c r="D20" s="390">
        <v>0</v>
      </c>
      <c r="E20" s="390">
        <f>4892173+16706</f>
        <v>4908879</v>
      </c>
    </row>
    <row r="21" spans="2:5" ht="15">
      <c r="B21" s="366" t="s">
        <v>817</v>
      </c>
      <c r="C21" s="391">
        <v>3805608</v>
      </c>
      <c r="D21" s="391">
        <v>0</v>
      </c>
      <c r="E21" s="391">
        <v>3805608</v>
      </c>
    </row>
    <row r="22" spans="2:5" ht="15">
      <c r="B22" s="366" t="s">
        <v>816</v>
      </c>
      <c r="C22" s="391">
        <f>1007269+16706</f>
        <v>1023975</v>
      </c>
      <c r="D22" s="391">
        <v>0</v>
      </c>
      <c r="E22" s="391">
        <f>1007269+16706</f>
        <v>1023975</v>
      </c>
    </row>
    <row r="23" spans="2:5" ht="15">
      <c r="B23" s="366" t="s">
        <v>813</v>
      </c>
      <c r="C23" s="391">
        <v>70651</v>
      </c>
      <c r="D23" s="391">
        <v>0</v>
      </c>
      <c r="E23" s="391">
        <v>70651</v>
      </c>
    </row>
    <row r="24" spans="2:5" ht="15">
      <c r="B24" s="366" t="s">
        <v>812</v>
      </c>
      <c r="C24" s="391">
        <f>4300+4345</f>
        <v>8645</v>
      </c>
      <c r="D24" s="391">
        <v>0</v>
      </c>
      <c r="E24" s="391">
        <v>8645</v>
      </c>
    </row>
    <row r="26" spans="1:5" ht="15.75" customHeight="1">
      <c r="A26" s="447" t="s">
        <v>955</v>
      </c>
      <c r="B26" s="449"/>
      <c r="C26" s="449"/>
      <c r="D26" s="449"/>
      <c r="E26" s="449"/>
    </row>
    <row r="27" spans="2:5" s="369" customFormat="1" ht="14.25">
      <c r="B27" s="370" t="s">
        <v>818</v>
      </c>
      <c r="C27" s="375">
        <v>8482</v>
      </c>
      <c r="D27" s="375">
        <v>0</v>
      </c>
      <c r="E27" s="375">
        <v>8482</v>
      </c>
    </row>
    <row r="28" spans="2:5" ht="15">
      <c r="B28" s="366" t="s">
        <v>816</v>
      </c>
      <c r="C28" s="374">
        <v>8482</v>
      </c>
      <c r="D28" s="374">
        <v>0</v>
      </c>
      <c r="E28" s="374">
        <v>8482</v>
      </c>
    </row>
    <row r="30" spans="1:5" ht="15.75" customHeight="1">
      <c r="A30" s="447" t="s">
        <v>954</v>
      </c>
      <c r="B30" s="449"/>
      <c r="C30" s="449"/>
      <c r="D30" s="449"/>
      <c r="E30" s="449"/>
    </row>
    <row r="31" spans="2:5" s="369" customFormat="1" ht="14.25">
      <c r="B31" s="370" t="s">
        <v>818</v>
      </c>
      <c r="C31" s="375">
        <v>630367</v>
      </c>
      <c r="D31" s="375">
        <v>0</v>
      </c>
      <c r="E31" s="375">
        <v>630367</v>
      </c>
    </row>
    <row r="32" spans="2:5" ht="15">
      <c r="B32" s="366" t="s">
        <v>816</v>
      </c>
      <c r="C32" s="374">
        <v>15381</v>
      </c>
      <c r="D32" s="374">
        <v>0</v>
      </c>
      <c r="E32" s="374">
        <v>15381</v>
      </c>
    </row>
    <row r="33" spans="2:5" ht="15">
      <c r="B33" s="366" t="s">
        <v>813</v>
      </c>
      <c r="C33" s="374">
        <v>614986</v>
      </c>
      <c r="D33" s="374">
        <v>0</v>
      </c>
      <c r="E33" s="374">
        <v>614986</v>
      </c>
    </row>
    <row r="35" spans="1:5" ht="31.5" customHeight="1">
      <c r="A35" s="447" t="s">
        <v>953</v>
      </c>
      <c r="B35" s="448"/>
      <c r="C35" s="448"/>
      <c r="D35" s="448"/>
      <c r="E35" s="448"/>
    </row>
    <row r="36" spans="2:5" s="369" customFormat="1" ht="14.25">
      <c r="B36" s="370" t="s">
        <v>818</v>
      </c>
      <c r="C36" s="375">
        <v>1357863</v>
      </c>
      <c r="D36" s="375">
        <v>0</v>
      </c>
      <c r="E36" s="375">
        <v>1357863</v>
      </c>
    </row>
    <row r="37" spans="2:5" ht="15">
      <c r="B37" s="366" t="s">
        <v>813</v>
      </c>
      <c r="C37" s="374">
        <v>1357863</v>
      </c>
      <c r="D37" s="374">
        <v>0</v>
      </c>
      <c r="E37" s="374">
        <v>1357863</v>
      </c>
    </row>
    <row r="39" spans="1:5" ht="31.5" customHeight="1">
      <c r="A39" s="447" t="s">
        <v>952</v>
      </c>
      <c r="B39" s="449"/>
      <c r="C39" s="449"/>
      <c r="D39" s="449"/>
      <c r="E39" s="449"/>
    </row>
    <row r="40" spans="2:5" s="369" customFormat="1" ht="14.25">
      <c r="B40" s="370" t="s">
        <v>818</v>
      </c>
      <c r="C40" s="375">
        <v>188993</v>
      </c>
      <c r="D40" s="375">
        <v>0</v>
      </c>
      <c r="E40" s="375">
        <v>188993</v>
      </c>
    </row>
    <row r="41" spans="2:5" ht="15">
      <c r="B41" s="366" t="s">
        <v>816</v>
      </c>
      <c r="C41" s="374">
        <v>242</v>
      </c>
      <c r="D41" s="374">
        <v>0</v>
      </c>
      <c r="E41" s="374">
        <v>242</v>
      </c>
    </row>
    <row r="42" spans="2:5" ht="15">
      <c r="B42" s="366" t="s">
        <v>813</v>
      </c>
      <c r="C42" s="374">
        <v>25270</v>
      </c>
      <c r="D42" s="374">
        <v>0</v>
      </c>
      <c r="E42" s="374">
        <v>25270</v>
      </c>
    </row>
    <row r="43" spans="2:5" ht="30">
      <c r="B43" s="366" t="s">
        <v>811</v>
      </c>
      <c r="C43" s="374">
        <v>163481</v>
      </c>
      <c r="D43" s="374">
        <v>0</v>
      </c>
      <c r="E43" s="374">
        <v>163481</v>
      </c>
    </row>
    <row r="45" spans="1:5" ht="31.5" customHeight="1">
      <c r="A45" s="447" t="s">
        <v>951</v>
      </c>
      <c r="B45" s="449"/>
      <c r="C45" s="449"/>
      <c r="D45" s="449"/>
      <c r="E45" s="449"/>
    </row>
    <row r="46" spans="2:5" s="369" customFormat="1" ht="14.25">
      <c r="B46" s="370" t="s">
        <v>818</v>
      </c>
      <c r="C46" s="375">
        <v>411725</v>
      </c>
      <c r="D46" s="375">
        <v>0</v>
      </c>
      <c r="E46" s="375">
        <v>411725</v>
      </c>
    </row>
    <row r="47" spans="2:5" ht="15">
      <c r="B47" s="366" t="s">
        <v>816</v>
      </c>
      <c r="C47" s="374">
        <v>47105</v>
      </c>
      <c r="D47" s="374">
        <v>0</v>
      </c>
      <c r="E47" s="374">
        <v>47105</v>
      </c>
    </row>
    <row r="48" spans="2:5" ht="15">
      <c r="B48" s="366" t="s">
        <v>813</v>
      </c>
      <c r="C48" s="374">
        <v>51407</v>
      </c>
      <c r="D48" s="374">
        <v>0</v>
      </c>
      <c r="E48" s="374">
        <v>51407</v>
      </c>
    </row>
    <row r="49" spans="2:5" ht="30">
      <c r="B49" s="366" t="s">
        <v>811</v>
      </c>
      <c r="C49" s="374">
        <v>313213</v>
      </c>
      <c r="D49" s="374">
        <v>0</v>
      </c>
      <c r="E49" s="374">
        <v>313213</v>
      </c>
    </row>
    <row r="51" spans="1:5" ht="15.75" customHeight="1">
      <c r="A51" s="447" t="s">
        <v>950</v>
      </c>
      <c r="B51" s="449"/>
      <c r="C51" s="449"/>
      <c r="D51" s="449"/>
      <c r="E51" s="449"/>
    </row>
    <row r="52" spans="2:5" s="369" customFormat="1" ht="14.25">
      <c r="B52" s="370" t="s">
        <v>818</v>
      </c>
      <c r="C52" s="375">
        <v>52604</v>
      </c>
      <c r="D52" s="375">
        <v>0</v>
      </c>
      <c r="E52" s="375">
        <v>52604</v>
      </c>
    </row>
    <row r="53" spans="2:5" ht="15">
      <c r="B53" s="366" t="s">
        <v>816</v>
      </c>
      <c r="C53" s="374">
        <v>0</v>
      </c>
      <c r="D53" s="374">
        <v>0</v>
      </c>
      <c r="E53" s="374">
        <v>0</v>
      </c>
    </row>
    <row r="54" spans="2:5" ht="15">
      <c r="B54" s="366" t="s">
        <v>813</v>
      </c>
      <c r="C54" s="374">
        <v>52604</v>
      </c>
      <c r="D54" s="374">
        <v>0</v>
      </c>
      <c r="E54" s="374">
        <v>52604</v>
      </c>
    </row>
    <row r="56" spans="1:5" ht="15.75" customHeight="1">
      <c r="A56" s="447" t="s">
        <v>949</v>
      </c>
      <c r="B56" s="449"/>
      <c r="C56" s="449"/>
      <c r="D56" s="449"/>
      <c r="E56" s="449"/>
    </row>
    <row r="57" spans="2:5" s="369" customFormat="1" ht="14.25">
      <c r="B57" s="370" t="s">
        <v>818</v>
      </c>
      <c r="C57" s="375">
        <v>9230628</v>
      </c>
      <c r="D57" s="375">
        <v>0</v>
      </c>
      <c r="E57" s="375">
        <v>9230628</v>
      </c>
    </row>
    <row r="58" spans="2:5" ht="15">
      <c r="B58" s="366" t="s">
        <v>813</v>
      </c>
      <c r="C58" s="374">
        <v>9230628</v>
      </c>
      <c r="D58" s="374">
        <v>0</v>
      </c>
      <c r="E58" s="374">
        <v>9230628</v>
      </c>
    </row>
    <row r="60" spans="1:5" ht="15.75" customHeight="1">
      <c r="A60" s="447" t="s">
        <v>948</v>
      </c>
      <c r="B60" s="449"/>
      <c r="C60" s="449"/>
      <c r="D60" s="449"/>
      <c r="E60" s="449"/>
    </row>
    <row r="61" spans="2:5" s="369" customFormat="1" ht="14.25">
      <c r="B61" s="370" t="s">
        <v>818</v>
      </c>
      <c r="C61" s="375">
        <v>61900</v>
      </c>
      <c r="D61" s="375">
        <v>0</v>
      </c>
      <c r="E61" s="375">
        <v>61900</v>
      </c>
    </row>
    <row r="62" spans="2:5" ht="15">
      <c r="B62" s="366" t="s">
        <v>816</v>
      </c>
      <c r="C62" s="374">
        <v>56634</v>
      </c>
      <c r="D62" s="374">
        <v>0</v>
      </c>
      <c r="E62" s="374">
        <v>56634</v>
      </c>
    </row>
    <row r="63" spans="2:5" ht="15">
      <c r="B63" s="366" t="s">
        <v>813</v>
      </c>
      <c r="C63" s="374">
        <v>5266</v>
      </c>
      <c r="D63" s="374">
        <v>0</v>
      </c>
      <c r="E63" s="374">
        <v>5266</v>
      </c>
    </row>
    <row r="65" spans="1:5" ht="15.75" customHeight="1">
      <c r="A65" s="447" t="s">
        <v>947</v>
      </c>
      <c r="B65" s="449"/>
      <c r="C65" s="449"/>
      <c r="D65" s="449"/>
      <c r="E65" s="449"/>
    </row>
    <row r="66" spans="2:5" s="369" customFormat="1" ht="14.25">
      <c r="B66" s="370" t="s">
        <v>818</v>
      </c>
      <c r="C66" s="375">
        <v>303374</v>
      </c>
      <c r="D66" s="375">
        <v>0</v>
      </c>
      <c r="E66" s="375">
        <v>303374</v>
      </c>
    </row>
    <row r="67" spans="2:5" ht="15">
      <c r="B67" s="366" t="s">
        <v>816</v>
      </c>
      <c r="C67" s="374">
        <v>52500</v>
      </c>
      <c r="D67" s="374">
        <v>0</v>
      </c>
      <c r="E67" s="374">
        <v>52500</v>
      </c>
    </row>
    <row r="68" spans="2:5" ht="15">
      <c r="B68" s="366" t="s">
        <v>813</v>
      </c>
      <c r="C68" s="374">
        <v>250874</v>
      </c>
      <c r="D68" s="374">
        <v>0</v>
      </c>
      <c r="E68" s="374">
        <v>250874</v>
      </c>
    </row>
    <row r="70" spans="1:5" ht="15.75" customHeight="1">
      <c r="A70" s="447" t="s">
        <v>946</v>
      </c>
      <c r="B70" s="449"/>
      <c r="C70" s="449"/>
      <c r="D70" s="449"/>
      <c r="E70" s="449"/>
    </row>
    <row r="71" spans="2:5" s="369" customFormat="1" ht="14.25">
      <c r="B71" s="370" t="s">
        <v>818</v>
      </c>
      <c r="C71" s="375">
        <v>548404</v>
      </c>
      <c r="D71" s="375">
        <v>0</v>
      </c>
      <c r="E71" s="375">
        <v>548404</v>
      </c>
    </row>
    <row r="72" spans="2:5" ht="15">
      <c r="B72" s="366" t="s">
        <v>816</v>
      </c>
      <c r="C72" s="374">
        <v>243200</v>
      </c>
      <c r="D72" s="374">
        <v>0</v>
      </c>
      <c r="E72" s="374">
        <v>243200</v>
      </c>
    </row>
    <row r="73" spans="2:5" ht="15">
      <c r="B73" s="366" t="s">
        <v>815</v>
      </c>
      <c r="C73" s="374">
        <v>25000</v>
      </c>
      <c r="D73" s="374">
        <v>0</v>
      </c>
      <c r="E73" s="374">
        <v>25000</v>
      </c>
    </row>
    <row r="74" spans="2:5" ht="15">
      <c r="B74" s="366" t="s">
        <v>813</v>
      </c>
      <c r="C74" s="374">
        <v>81000</v>
      </c>
      <c r="D74" s="374">
        <v>0</v>
      </c>
      <c r="E74" s="374">
        <v>81000</v>
      </c>
    </row>
    <row r="75" spans="2:5" ht="15">
      <c r="B75" s="366" t="s">
        <v>812</v>
      </c>
      <c r="C75" s="374">
        <v>199204</v>
      </c>
      <c r="D75" s="374">
        <v>0</v>
      </c>
      <c r="E75" s="374">
        <v>199204</v>
      </c>
    </row>
    <row r="77" spans="1:5" ht="15.75" customHeight="1">
      <c r="A77" s="447" t="s">
        <v>945</v>
      </c>
      <c r="B77" s="449"/>
      <c r="C77" s="449"/>
      <c r="D77" s="449"/>
      <c r="E77" s="449"/>
    </row>
    <row r="78" spans="2:5" s="369" customFormat="1" ht="14.25">
      <c r="B78" s="370" t="s">
        <v>818</v>
      </c>
      <c r="C78" s="375">
        <v>7000</v>
      </c>
      <c r="D78" s="375">
        <v>0</v>
      </c>
      <c r="E78" s="375">
        <v>7000</v>
      </c>
    </row>
    <row r="79" spans="2:5" ht="15">
      <c r="B79" s="366" t="s">
        <v>817</v>
      </c>
      <c r="C79" s="374">
        <v>3500</v>
      </c>
      <c r="D79" s="374">
        <v>0</v>
      </c>
      <c r="E79" s="374">
        <v>3500</v>
      </c>
    </row>
    <row r="80" spans="2:5" ht="15">
      <c r="B80" s="366" t="s">
        <v>816</v>
      </c>
      <c r="C80" s="374">
        <v>3500</v>
      </c>
      <c r="D80" s="374">
        <v>0</v>
      </c>
      <c r="E80" s="374">
        <v>3500</v>
      </c>
    </row>
    <row r="82" spans="1:5" ht="31.5" customHeight="1">
      <c r="A82" s="447" t="s">
        <v>944</v>
      </c>
      <c r="B82" s="449"/>
      <c r="C82" s="449"/>
      <c r="D82" s="449"/>
      <c r="E82" s="449"/>
    </row>
    <row r="83" spans="2:5" s="369" customFormat="1" ht="14.25">
      <c r="B83" s="370" t="s">
        <v>818</v>
      </c>
      <c r="C83" s="375">
        <v>21000</v>
      </c>
      <c r="D83" s="375">
        <v>0</v>
      </c>
      <c r="E83" s="375">
        <v>21000</v>
      </c>
    </row>
    <row r="84" spans="2:5" ht="15">
      <c r="B84" s="366" t="s">
        <v>815</v>
      </c>
      <c r="C84" s="374">
        <v>21000</v>
      </c>
      <c r="D84" s="374">
        <v>0</v>
      </c>
      <c r="E84" s="374">
        <v>21000</v>
      </c>
    </row>
    <row r="86" spans="1:5" ht="15.75" customHeight="1">
      <c r="A86" s="447" t="s">
        <v>943</v>
      </c>
      <c r="B86" s="449"/>
      <c r="C86" s="449"/>
      <c r="D86" s="449"/>
      <c r="E86" s="449"/>
    </row>
    <row r="87" spans="2:5" s="369" customFormat="1" ht="14.25">
      <c r="B87" s="370" t="s">
        <v>818</v>
      </c>
      <c r="C87" s="375">
        <v>161134</v>
      </c>
      <c r="D87" s="375">
        <v>0</v>
      </c>
      <c r="E87" s="375">
        <v>161134</v>
      </c>
    </row>
    <row r="88" spans="2:5" ht="15">
      <c r="B88" s="366" t="s">
        <v>817</v>
      </c>
      <c r="C88" s="374">
        <v>14089</v>
      </c>
      <c r="D88" s="374">
        <v>0</v>
      </c>
      <c r="E88" s="374">
        <v>14089</v>
      </c>
    </row>
    <row r="89" spans="2:5" ht="15">
      <c r="B89" s="366" t="s">
        <v>816</v>
      </c>
      <c r="C89" s="374">
        <v>147045</v>
      </c>
      <c r="D89" s="374">
        <v>0</v>
      </c>
      <c r="E89" s="374">
        <v>147045</v>
      </c>
    </row>
    <row r="91" spans="1:5" ht="15.75" customHeight="1">
      <c r="A91" s="447" t="s">
        <v>942</v>
      </c>
      <c r="B91" s="449"/>
      <c r="C91" s="449"/>
      <c r="D91" s="449"/>
      <c r="E91" s="449"/>
    </row>
    <row r="92" spans="2:5" s="369" customFormat="1" ht="14.25">
      <c r="B92" s="370" t="s">
        <v>818</v>
      </c>
      <c r="C92" s="375">
        <v>461544</v>
      </c>
      <c r="D92" s="375">
        <v>0</v>
      </c>
      <c r="E92" s="375">
        <v>461544</v>
      </c>
    </row>
    <row r="93" spans="2:5" ht="15">
      <c r="B93" s="366" t="s">
        <v>817</v>
      </c>
      <c r="C93" s="374">
        <v>31109</v>
      </c>
      <c r="D93" s="374">
        <v>0</v>
      </c>
      <c r="E93" s="374">
        <v>31109</v>
      </c>
    </row>
    <row r="94" spans="2:5" ht="15">
      <c r="B94" s="366" t="s">
        <v>816</v>
      </c>
      <c r="C94" s="374">
        <v>387435</v>
      </c>
      <c r="D94" s="374">
        <v>0</v>
      </c>
      <c r="E94" s="374">
        <v>387435</v>
      </c>
    </row>
    <row r="95" spans="2:5" ht="15">
      <c r="B95" s="366" t="s">
        <v>813</v>
      </c>
      <c r="C95" s="374">
        <v>33000</v>
      </c>
      <c r="D95" s="374">
        <v>0</v>
      </c>
      <c r="E95" s="374">
        <v>33000</v>
      </c>
    </row>
    <row r="96" spans="2:5" ht="15">
      <c r="B96" s="366" t="s">
        <v>812</v>
      </c>
      <c r="C96" s="374">
        <v>10000</v>
      </c>
      <c r="D96" s="374">
        <v>0</v>
      </c>
      <c r="E96" s="374">
        <v>10000</v>
      </c>
    </row>
    <row r="98" spans="1:5" ht="15.75" customHeight="1">
      <c r="A98" s="447" t="s">
        <v>941</v>
      </c>
      <c r="B98" s="449"/>
      <c r="C98" s="449"/>
      <c r="D98" s="449"/>
      <c r="E98" s="449"/>
    </row>
    <row r="99" spans="2:5" s="369" customFormat="1" ht="14.25">
      <c r="B99" s="370" t="s">
        <v>818</v>
      </c>
      <c r="C99" s="375">
        <v>132824</v>
      </c>
      <c r="D99" s="375">
        <v>0</v>
      </c>
      <c r="E99" s="375">
        <v>132824</v>
      </c>
    </row>
    <row r="100" spans="2:5" ht="15">
      <c r="B100" s="366" t="s">
        <v>813</v>
      </c>
      <c r="C100" s="374">
        <v>132824</v>
      </c>
      <c r="D100" s="374">
        <v>0</v>
      </c>
      <c r="E100" s="374">
        <v>132824</v>
      </c>
    </row>
    <row r="102" spans="1:5" ht="31.5" customHeight="1">
      <c r="A102" s="447" t="s">
        <v>940</v>
      </c>
      <c r="B102" s="449"/>
      <c r="C102" s="449"/>
      <c r="D102" s="449"/>
      <c r="E102" s="449"/>
    </row>
    <row r="103" spans="2:5" s="369" customFormat="1" ht="14.25">
      <c r="B103" s="370" t="s">
        <v>818</v>
      </c>
      <c r="C103" s="375">
        <v>4500378</v>
      </c>
      <c r="D103" s="375">
        <v>0</v>
      </c>
      <c r="E103" s="375">
        <v>4500378</v>
      </c>
    </row>
    <row r="104" spans="2:5" ht="15">
      <c r="B104" s="366" t="s">
        <v>813</v>
      </c>
      <c r="C104" s="374">
        <v>4500378</v>
      </c>
      <c r="D104" s="374">
        <v>0</v>
      </c>
      <c r="E104" s="374">
        <v>4500378</v>
      </c>
    </row>
    <row r="106" spans="1:5" ht="31.5" customHeight="1">
      <c r="A106" s="447" t="s">
        <v>939</v>
      </c>
      <c r="B106" s="449"/>
      <c r="C106" s="449"/>
      <c r="D106" s="449"/>
      <c r="E106" s="449"/>
    </row>
    <row r="107" spans="2:5" s="369" customFormat="1" ht="14.25">
      <c r="B107" s="370" t="s">
        <v>818</v>
      </c>
      <c r="C107" s="375">
        <v>1084224</v>
      </c>
      <c r="D107" s="375">
        <v>0</v>
      </c>
      <c r="E107" s="375">
        <v>1084224</v>
      </c>
    </row>
    <row r="108" spans="2:5" ht="15">
      <c r="B108" s="366" t="s">
        <v>813</v>
      </c>
      <c r="C108" s="374">
        <v>1084224</v>
      </c>
      <c r="D108" s="374">
        <v>0</v>
      </c>
      <c r="E108" s="374">
        <v>1084224</v>
      </c>
    </row>
    <row r="110" spans="1:5" ht="31.5" customHeight="1">
      <c r="A110" s="447" t="s">
        <v>938</v>
      </c>
      <c r="B110" s="449"/>
      <c r="C110" s="449"/>
      <c r="D110" s="449"/>
      <c r="E110" s="449"/>
    </row>
    <row r="111" spans="2:5" s="369" customFormat="1" ht="14.25">
      <c r="B111" s="370" t="s">
        <v>818</v>
      </c>
      <c r="C111" s="375">
        <v>1074451</v>
      </c>
      <c r="D111" s="375">
        <v>0</v>
      </c>
      <c r="E111" s="375">
        <v>1074451</v>
      </c>
    </row>
    <row r="112" spans="2:5" ht="15">
      <c r="B112" s="366" t="s">
        <v>813</v>
      </c>
      <c r="C112" s="374">
        <v>1074451</v>
      </c>
      <c r="D112" s="374">
        <v>0</v>
      </c>
      <c r="E112" s="374">
        <v>1074451</v>
      </c>
    </row>
    <row r="114" spans="1:5" ht="31.5" customHeight="1">
      <c r="A114" s="447" t="s">
        <v>937</v>
      </c>
      <c r="B114" s="449"/>
      <c r="C114" s="449"/>
      <c r="D114" s="449"/>
      <c r="E114" s="449"/>
    </row>
    <row r="115" spans="2:5" s="369" customFormat="1" ht="14.25">
      <c r="B115" s="370" t="s">
        <v>818</v>
      </c>
      <c r="C115" s="375">
        <v>498613</v>
      </c>
      <c r="D115" s="375">
        <v>0</v>
      </c>
      <c r="E115" s="375">
        <v>498613</v>
      </c>
    </row>
    <row r="116" spans="2:5" ht="15">
      <c r="B116" s="366" t="s">
        <v>816</v>
      </c>
      <c r="C116" s="374">
        <v>104210</v>
      </c>
      <c r="D116" s="374">
        <v>0</v>
      </c>
      <c r="E116" s="374">
        <v>104210</v>
      </c>
    </row>
    <row r="117" spans="2:5" ht="15">
      <c r="B117" s="366" t="s">
        <v>813</v>
      </c>
      <c r="C117" s="374">
        <v>394403</v>
      </c>
      <c r="D117" s="374">
        <v>0</v>
      </c>
      <c r="E117" s="374">
        <v>394403</v>
      </c>
    </row>
    <row r="119" spans="1:5" ht="31.5" customHeight="1">
      <c r="A119" s="447" t="s">
        <v>936</v>
      </c>
      <c r="B119" s="449"/>
      <c r="C119" s="449"/>
      <c r="D119" s="449"/>
      <c r="E119" s="449"/>
    </row>
    <row r="120" spans="2:5" s="369" customFormat="1" ht="14.25">
      <c r="B120" s="370" t="s">
        <v>818</v>
      </c>
      <c r="C120" s="375">
        <v>3253633</v>
      </c>
      <c r="D120" s="375">
        <v>0</v>
      </c>
      <c r="E120" s="375">
        <v>3253633</v>
      </c>
    </row>
    <row r="121" spans="2:5" ht="15">
      <c r="B121" s="366" t="s">
        <v>813</v>
      </c>
      <c r="C121" s="374">
        <v>3253633</v>
      </c>
      <c r="D121" s="374">
        <v>0</v>
      </c>
      <c r="E121" s="374">
        <v>3253633</v>
      </c>
    </row>
    <row r="123" spans="1:5" ht="15.75" customHeight="1">
      <c r="A123" s="447" t="s">
        <v>935</v>
      </c>
      <c r="B123" s="449"/>
      <c r="C123" s="449"/>
      <c r="D123" s="449"/>
      <c r="E123" s="449"/>
    </row>
    <row r="124" spans="2:5" s="369" customFormat="1" ht="14.25">
      <c r="B124" s="370" t="s">
        <v>818</v>
      </c>
      <c r="C124" s="375">
        <v>83451</v>
      </c>
      <c r="D124" s="375">
        <v>0</v>
      </c>
      <c r="E124" s="375">
        <v>83451</v>
      </c>
    </row>
    <row r="125" spans="2:5" ht="15">
      <c r="B125" s="366" t="s">
        <v>817</v>
      </c>
      <c r="C125" s="374">
        <v>36977</v>
      </c>
      <c r="D125" s="374">
        <v>0</v>
      </c>
      <c r="E125" s="374">
        <v>36977</v>
      </c>
    </row>
    <row r="126" spans="2:5" ht="15">
      <c r="B126" s="366" t="s">
        <v>816</v>
      </c>
      <c r="C126" s="374">
        <v>46474</v>
      </c>
      <c r="D126" s="374">
        <v>0</v>
      </c>
      <c r="E126" s="374">
        <v>46474</v>
      </c>
    </row>
    <row r="128" spans="1:5" ht="15.75" customHeight="1">
      <c r="A128" s="447" t="s">
        <v>934</v>
      </c>
      <c r="B128" s="449"/>
      <c r="C128" s="449"/>
      <c r="D128" s="449"/>
      <c r="E128" s="449"/>
    </row>
    <row r="129" spans="2:5" s="369" customFormat="1" ht="14.25">
      <c r="B129" s="370" t="s">
        <v>818</v>
      </c>
      <c r="C129" s="375">
        <v>500</v>
      </c>
      <c r="D129" s="375">
        <v>0</v>
      </c>
      <c r="E129" s="375">
        <v>500</v>
      </c>
    </row>
    <row r="130" spans="2:5" ht="15">
      <c r="B130" s="366" t="s">
        <v>817</v>
      </c>
      <c r="C130" s="374">
        <v>500</v>
      </c>
      <c r="D130" s="374">
        <v>0</v>
      </c>
      <c r="E130" s="374">
        <v>500</v>
      </c>
    </row>
    <row r="132" spans="1:5" ht="15.75" customHeight="1">
      <c r="A132" s="447" t="s">
        <v>933</v>
      </c>
      <c r="B132" s="449"/>
      <c r="C132" s="449"/>
      <c r="D132" s="449"/>
      <c r="E132" s="449"/>
    </row>
    <row r="133" spans="2:5" s="369" customFormat="1" ht="14.25">
      <c r="B133" s="370" t="s">
        <v>818</v>
      </c>
      <c r="C133" s="375">
        <v>291040</v>
      </c>
      <c r="D133" s="375">
        <v>0</v>
      </c>
      <c r="E133" s="375">
        <v>291040</v>
      </c>
    </row>
    <row r="134" spans="2:5" ht="15">
      <c r="B134" s="366" t="s">
        <v>813</v>
      </c>
      <c r="C134" s="374">
        <v>291040</v>
      </c>
      <c r="D134" s="374">
        <v>0</v>
      </c>
      <c r="E134" s="374">
        <v>291040</v>
      </c>
    </row>
    <row r="136" spans="1:5" ht="15.75" customHeight="1">
      <c r="A136" s="447" t="s">
        <v>932</v>
      </c>
      <c r="B136" s="449"/>
      <c r="C136" s="449"/>
      <c r="D136" s="449"/>
      <c r="E136" s="449"/>
    </row>
    <row r="137" spans="2:5" s="369" customFormat="1" ht="14.25">
      <c r="B137" s="370" t="s">
        <v>818</v>
      </c>
      <c r="C137" s="375">
        <v>98716</v>
      </c>
      <c r="D137" s="375">
        <v>0</v>
      </c>
      <c r="E137" s="375">
        <v>98716</v>
      </c>
    </row>
    <row r="138" spans="2:5" ht="15">
      <c r="B138" s="366" t="s">
        <v>816</v>
      </c>
      <c r="C138" s="374">
        <v>37647</v>
      </c>
      <c r="D138" s="374">
        <v>0</v>
      </c>
      <c r="E138" s="374">
        <v>37647</v>
      </c>
    </row>
    <row r="139" spans="2:5" ht="15">
      <c r="B139" s="366" t="s">
        <v>813</v>
      </c>
      <c r="C139" s="374">
        <v>61069</v>
      </c>
      <c r="D139" s="374">
        <v>0</v>
      </c>
      <c r="E139" s="374">
        <v>61069</v>
      </c>
    </row>
    <row r="141" spans="1:5" ht="15.75" customHeight="1">
      <c r="A141" s="447" t="s">
        <v>931</v>
      </c>
      <c r="B141" s="449"/>
      <c r="C141" s="449"/>
      <c r="D141" s="449"/>
      <c r="E141" s="449"/>
    </row>
    <row r="142" spans="2:5" s="369" customFormat="1" ht="14.25">
      <c r="B142" s="370" t="s">
        <v>818</v>
      </c>
      <c r="C142" s="375">
        <v>1048879</v>
      </c>
      <c r="D142" s="375">
        <v>0</v>
      </c>
      <c r="E142" s="375">
        <v>1048879</v>
      </c>
    </row>
    <row r="143" spans="2:5" ht="15">
      <c r="B143" s="366" t="s">
        <v>817</v>
      </c>
      <c r="C143" s="374">
        <v>300000</v>
      </c>
      <c r="D143" s="374">
        <v>0</v>
      </c>
      <c r="E143" s="374">
        <v>300000</v>
      </c>
    </row>
    <row r="144" spans="2:5" ht="15">
      <c r="B144" s="366" t="s">
        <v>816</v>
      </c>
      <c r="C144" s="374">
        <v>748879</v>
      </c>
      <c r="D144" s="374">
        <v>0</v>
      </c>
      <c r="E144" s="374">
        <v>748879</v>
      </c>
    </row>
    <row r="146" spans="1:5" ht="15.75" customHeight="1">
      <c r="A146" s="447" t="s">
        <v>930</v>
      </c>
      <c r="B146" s="449"/>
      <c r="C146" s="449"/>
      <c r="D146" s="449"/>
      <c r="E146" s="449"/>
    </row>
    <row r="147" spans="2:5" s="369" customFormat="1" ht="14.25">
      <c r="B147" s="370" t="s">
        <v>818</v>
      </c>
      <c r="C147" s="375">
        <v>2438683</v>
      </c>
      <c r="D147" s="375">
        <v>0</v>
      </c>
      <c r="E147" s="375">
        <v>2438683</v>
      </c>
    </row>
    <row r="148" spans="2:5" ht="15">
      <c r="B148" s="366" t="s">
        <v>816</v>
      </c>
      <c r="C148" s="374">
        <v>84188</v>
      </c>
      <c r="D148" s="374">
        <v>0</v>
      </c>
      <c r="E148" s="374">
        <v>84188</v>
      </c>
    </row>
    <row r="149" spans="2:5" ht="15">
      <c r="B149" s="366" t="s">
        <v>813</v>
      </c>
      <c r="C149" s="374">
        <v>2354495</v>
      </c>
      <c r="D149" s="374">
        <v>0</v>
      </c>
      <c r="E149" s="374">
        <v>2354495</v>
      </c>
    </row>
    <row r="151" spans="1:5" ht="31.5" customHeight="1">
      <c r="A151" s="447" t="s">
        <v>929</v>
      </c>
      <c r="B151" s="449"/>
      <c r="C151" s="449"/>
      <c r="D151" s="449"/>
      <c r="E151" s="449"/>
    </row>
    <row r="152" spans="2:5" s="369" customFormat="1" ht="14.25">
      <c r="B152" s="370" t="s">
        <v>818</v>
      </c>
      <c r="C152" s="375">
        <v>822854</v>
      </c>
      <c r="D152" s="375">
        <v>0</v>
      </c>
      <c r="E152" s="375">
        <v>822854</v>
      </c>
    </row>
    <row r="153" spans="2:5" ht="15">
      <c r="B153" s="366" t="s">
        <v>813</v>
      </c>
      <c r="C153" s="374">
        <v>822854</v>
      </c>
      <c r="D153" s="374">
        <v>0</v>
      </c>
      <c r="E153" s="374">
        <v>822854</v>
      </c>
    </row>
    <row r="154" ht="15" customHeight="1"/>
    <row r="155" spans="1:5" ht="32.25" customHeight="1">
      <c r="A155" s="451" t="s">
        <v>928</v>
      </c>
      <c r="B155" s="452"/>
      <c r="C155" s="452"/>
      <c r="D155" s="452"/>
      <c r="E155" s="452"/>
    </row>
    <row r="156" spans="1:5" ht="14.25">
      <c r="A156" s="367"/>
      <c r="B156" s="368" t="s">
        <v>818</v>
      </c>
      <c r="C156" s="373">
        <v>252291</v>
      </c>
      <c r="D156" s="373">
        <v>0</v>
      </c>
      <c r="E156" s="373">
        <v>252291</v>
      </c>
    </row>
    <row r="157" spans="1:5" ht="14.25">
      <c r="A157" s="367"/>
      <c r="B157" s="368" t="s">
        <v>817</v>
      </c>
      <c r="C157" s="373">
        <v>205595</v>
      </c>
      <c r="D157" s="373">
        <v>0</v>
      </c>
      <c r="E157" s="373">
        <v>205595</v>
      </c>
    </row>
    <row r="158" spans="1:5" ht="14.25">
      <c r="A158" s="367"/>
      <c r="B158" s="368" t="s">
        <v>816</v>
      </c>
      <c r="C158" s="373">
        <v>45016</v>
      </c>
      <c r="D158" s="373">
        <v>0</v>
      </c>
      <c r="E158" s="373">
        <v>45016</v>
      </c>
    </row>
    <row r="159" spans="1:5" ht="30" customHeight="1">
      <c r="A159" s="367"/>
      <c r="B159" s="368" t="s">
        <v>811</v>
      </c>
      <c r="C159" s="373">
        <v>1680</v>
      </c>
      <c r="D159" s="373">
        <v>0</v>
      </c>
      <c r="E159" s="373">
        <v>1680</v>
      </c>
    </row>
    <row r="161" spans="1:5" ht="31.5" customHeight="1">
      <c r="A161" s="447" t="s">
        <v>927</v>
      </c>
      <c r="B161" s="449"/>
      <c r="C161" s="449"/>
      <c r="D161" s="449"/>
      <c r="E161" s="449"/>
    </row>
    <row r="162" spans="2:5" s="369" customFormat="1" ht="14.25">
      <c r="B162" s="370" t="s">
        <v>818</v>
      </c>
      <c r="C162" s="375">
        <v>252291</v>
      </c>
      <c r="D162" s="375">
        <v>0</v>
      </c>
      <c r="E162" s="375">
        <v>252291</v>
      </c>
    </row>
    <row r="163" spans="2:5" ht="15">
      <c r="B163" s="366" t="s">
        <v>817</v>
      </c>
      <c r="C163" s="374">
        <v>205595</v>
      </c>
      <c r="D163" s="374">
        <v>0</v>
      </c>
      <c r="E163" s="374">
        <v>205595</v>
      </c>
    </row>
    <row r="164" spans="2:5" ht="15">
      <c r="B164" s="366" t="s">
        <v>816</v>
      </c>
      <c r="C164" s="374">
        <v>45016</v>
      </c>
      <c r="D164" s="374">
        <v>0</v>
      </c>
      <c r="E164" s="374">
        <v>45016</v>
      </c>
    </row>
    <row r="165" spans="2:5" ht="30">
      <c r="B165" s="366" t="s">
        <v>811</v>
      </c>
      <c r="C165" s="374">
        <v>1680</v>
      </c>
      <c r="D165" s="374">
        <v>0</v>
      </c>
      <c r="E165" s="374">
        <v>1680</v>
      </c>
    </row>
    <row r="167" spans="1:5" ht="31.5" customHeight="1">
      <c r="A167" s="451" t="s">
        <v>926</v>
      </c>
      <c r="B167" s="452"/>
      <c r="C167" s="452"/>
      <c r="D167" s="452"/>
      <c r="E167" s="452"/>
    </row>
    <row r="168" spans="1:5" ht="14.25">
      <c r="A168" s="367"/>
      <c r="B168" s="368" t="s">
        <v>818</v>
      </c>
      <c r="C168" s="373">
        <v>7893828</v>
      </c>
      <c r="D168" s="373">
        <v>0</v>
      </c>
      <c r="E168" s="373">
        <v>7893828</v>
      </c>
    </row>
    <row r="169" spans="1:5" ht="14.25">
      <c r="A169" s="367"/>
      <c r="B169" s="368" t="s">
        <v>816</v>
      </c>
      <c r="C169" s="373">
        <v>1037682</v>
      </c>
      <c r="D169" s="373">
        <v>0</v>
      </c>
      <c r="E169" s="373">
        <v>1037682</v>
      </c>
    </row>
    <row r="170" spans="1:5" ht="14.25">
      <c r="A170" s="367"/>
      <c r="B170" s="368" t="s">
        <v>815</v>
      </c>
      <c r="C170" s="373">
        <v>4543646</v>
      </c>
      <c r="D170" s="373">
        <v>0</v>
      </c>
      <c r="E170" s="373">
        <v>4543646</v>
      </c>
    </row>
    <row r="171" spans="1:5" ht="14.25">
      <c r="A171" s="367"/>
      <c r="B171" s="368" t="s">
        <v>814</v>
      </c>
      <c r="C171" s="373">
        <v>2086500</v>
      </c>
      <c r="D171" s="373">
        <v>0</v>
      </c>
      <c r="E171" s="373">
        <v>2086500</v>
      </c>
    </row>
    <row r="172" spans="1:5" ht="14.25">
      <c r="A172" s="367"/>
      <c r="B172" s="368" t="s">
        <v>812</v>
      </c>
      <c r="C172" s="373">
        <v>220000</v>
      </c>
      <c r="D172" s="373">
        <v>0</v>
      </c>
      <c r="E172" s="373">
        <v>220000</v>
      </c>
    </row>
    <row r="173" spans="1:5" ht="30" customHeight="1">
      <c r="A173" s="367"/>
      <c r="B173" s="368" t="s">
        <v>811</v>
      </c>
      <c r="C173" s="373">
        <v>6000</v>
      </c>
      <c r="D173" s="373">
        <v>0</v>
      </c>
      <c r="E173" s="373">
        <v>6000</v>
      </c>
    </row>
    <row r="175" spans="1:5" ht="15.75" customHeight="1">
      <c r="A175" s="447" t="s">
        <v>925</v>
      </c>
      <c r="B175" s="449"/>
      <c r="C175" s="449"/>
      <c r="D175" s="449"/>
      <c r="E175" s="449"/>
    </row>
    <row r="176" spans="2:5" s="369" customFormat="1" ht="14.25">
      <c r="B176" s="370" t="s">
        <v>818</v>
      </c>
      <c r="C176" s="375">
        <v>51219</v>
      </c>
      <c r="D176" s="375">
        <v>0</v>
      </c>
      <c r="E176" s="375">
        <v>51219</v>
      </c>
    </row>
    <row r="177" spans="2:5" ht="15">
      <c r="B177" s="366" t="s">
        <v>816</v>
      </c>
      <c r="C177" s="374">
        <v>51219</v>
      </c>
      <c r="D177" s="374">
        <v>0</v>
      </c>
      <c r="E177" s="374">
        <v>51219</v>
      </c>
    </row>
    <row r="179" spans="1:5" ht="15.75" customHeight="1">
      <c r="A179" s="447" t="s">
        <v>924</v>
      </c>
      <c r="B179" s="449"/>
      <c r="C179" s="449"/>
      <c r="D179" s="449"/>
      <c r="E179" s="449"/>
    </row>
    <row r="180" spans="2:5" s="369" customFormat="1" ht="14.25">
      <c r="B180" s="370" t="s">
        <v>818</v>
      </c>
      <c r="C180" s="375">
        <v>2585405</v>
      </c>
      <c r="D180" s="375">
        <v>0</v>
      </c>
      <c r="E180" s="375">
        <v>2585405</v>
      </c>
    </row>
    <row r="181" spans="2:5" ht="15">
      <c r="B181" s="366" t="s">
        <v>816</v>
      </c>
      <c r="C181" s="374">
        <v>498905</v>
      </c>
      <c r="D181" s="374">
        <v>0</v>
      </c>
      <c r="E181" s="374">
        <v>498905</v>
      </c>
    </row>
    <row r="182" spans="2:5" ht="15">
      <c r="B182" s="366" t="s">
        <v>814</v>
      </c>
      <c r="C182" s="374">
        <v>2086500</v>
      </c>
      <c r="D182" s="374">
        <v>0</v>
      </c>
      <c r="E182" s="374">
        <v>2086500</v>
      </c>
    </row>
    <row r="184" spans="1:5" ht="15.75" customHeight="1">
      <c r="A184" s="447" t="s">
        <v>923</v>
      </c>
      <c r="B184" s="449"/>
      <c r="C184" s="449"/>
      <c r="D184" s="449"/>
      <c r="E184" s="449"/>
    </row>
    <row r="185" spans="2:5" s="369" customFormat="1" ht="14.25">
      <c r="B185" s="370" t="s">
        <v>818</v>
      </c>
      <c r="C185" s="375">
        <v>379655</v>
      </c>
      <c r="D185" s="375">
        <v>0</v>
      </c>
      <c r="E185" s="375">
        <v>379655</v>
      </c>
    </row>
    <row r="186" spans="2:5" ht="15">
      <c r="B186" s="366" t="s">
        <v>816</v>
      </c>
      <c r="C186" s="374">
        <v>379655</v>
      </c>
      <c r="D186" s="374">
        <v>0</v>
      </c>
      <c r="E186" s="374">
        <v>379655</v>
      </c>
    </row>
    <row r="188" spans="1:5" ht="31.5" customHeight="1">
      <c r="A188" s="447" t="s">
        <v>922</v>
      </c>
      <c r="B188" s="449"/>
      <c r="C188" s="449"/>
      <c r="D188" s="449"/>
      <c r="E188" s="449"/>
    </row>
    <row r="189" spans="2:5" s="369" customFormat="1" ht="14.25">
      <c r="B189" s="370" t="s">
        <v>818</v>
      </c>
      <c r="C189" s="375">
        <v>3186109</v>
      </c>
      <c r="D189" s="375">
        <v>0</v>
      </c>
      <c r="E189" s="375">
        <v>3186109</v>
      </c>
    </row>
    <row r="190" spans="2:5" ht="15">
      <c r="B190" s="366" t="s">
        <v>815</v>
      </c>
      <c r="C190" s="374">
        <v>3186109</v>
      </c>
      <c r="D190" s="374">
        <v>0</v>
      </c>
      <c r="E190" s="374">
        <v>3186109</v>
      </c>
    </row>
    <row r="192" spans="1:5" ht="15.75" customHeight="1">
      <c r="A192" s="447" t="s">
        <v>921</v>
      </c>
      <c r="B192" s="449"/>
      <c r="C192" s="449"/>
      <c r="D192" s="449"/>
      <c r="E192" s="449"/>
    </row>
    <row r="193" spans="2:5" s="369" customFormat="1" ht="14.25">
      <c r="B193" s="370" t="s">
        <v>818</v>
      </c>
      <c r="C193" s="375">
        <v>6000</v>
      </c>
      <c r="D193" s="375">
        <v>0</v>
      </c>
      <c r="E193" s="375">
        <v>6000</v>
      </c>
    </row>
    <row r="194" spans="2:5" ht="30">
      <c r="B194" s="366" t="s">
        <v>811</v>
      </c>
      <c r="C194" s="374">
        <v>6000</v>
      </c>
      <c r="D194" s="374">
        <v>0</v>
      </c>
      <c r="E194" s="374">
        <v>6000</v>
      </c>
    </row>
    <row r="196" spans="1:5" ht="31.5" customHeight="1">
      <c r="A196" s="447" t="s">
        <v>920</v>
      </c>
      <c r="B196" s="449"/>
      <c r="C196" s="449"/>
      <c r="D196" s="449"/>
      <c r="E196" s="449"/>
    </row>
    <row r="197" spans="2:5" s="369" customFormat="1" ht="14.25">
      <c r="B197" s="370" t="s">
        <v>818</v>
      </c>
      <c r="C197" s="375">
        <v>50000</v>
      </c>
      <c r="D197" s="375">
        <v>0</v>
      </c>
      <c r="E197" s="375">
        <v>50000</v>
      </c>
    </row>
    <row r="198" spans="2:5" ht="15">
      <c r="B198" s="366" t="s">
        <v>815</v>
      </c>
      <c r="C198" s="374">
        <v>50000</v>
      </c>
      <c r="D198" s="374">
        <v>0</v>
      </c>
      <c r="E198" s="374">
        <v>50000</v>
      </c>
    </row>
    <row r="200" spans="1:5" ht="15.75" customHeight="1">
      <c r="A200" s="447" t="s">
        <v>919</v>
      </c>
      <c r="B200" s="449"/>
      <c r="C200" s="449"/>
      <c r="D200" s="449"/>
      <c r="E200" s="449"/>
    </row>
    <row r="201" spans="2:5" s="369" customFormat="1" ht="14.25">
      <c r="B201" s="370" t="s">
        <v>818</v>
      </c>
      <c r="C201" s="375">
        <v>741179</v>
      </c>
      <c r="D201" s="375">
        <v>0</v>
      </c>
      <c r="E201" s="375">
        <v>741179</v>
      </c>
    </row>
    <row r="202" spans="2:5" ht="15">
      <c r="B202" s="366" t="s">
        <v>815</v>
      </c>
      <c r="C202" s="374">
        <v>741179</v>
      </c>
      <c r="D202" s="374">
        <v>0</v>
      </c>
      <c r="E202" s="374">
        <v>741179</v>
      </c>
    </row>
    <row r="204" spans="1:5" ht="15.75" customHeight="1">
      <c r="A204" s="447" t="s">
        <v>918</v>
      </c>
      <c r="B204" s="449"/>
      <c r="C204" s="449"/>
      <c r="D204" s="449"/>
      <c r="E204" s="449"/>
    </row>
    <row r="205" spans="2:5" s="369" customFormat="1" ht="14.25">
      <c r="B205" s="370" t="s">
        <v>818</v>
      </c>
      <c r="C205" s="375">
        <v>151850</v>
      </c>
      <c r="D205" s="375">
        <v>0</v>
      </c>
      <c r="E205" s="375">
        <v>151850</v>
      </c>
    </row>
    <row r="206" spans="2:5" ht="15">
      <c r="B206" s="366" t="s">
        <v>815</v>
      </c>
      <c r="C206" s="374">
        <v>151850</v>
      </c>
      <c r="D206" s="374">
        <v>0</v>
      </c>
      <c r="E206" s="374">
        <v>151850</v>
      </c>
    </row>
    <row r="208" spans="1:5" ht="31.5" customHeight="1">
      <c r="A208" s="447" t="s">
        <v>917</v>
      </c>
      <c r="B208" s="449"/>
      <c r="C208" s="449"/>
      <c r="D208" s="449"/>
      <c r="E208" s="449"/>
    </row>
    <row r="209" spans="2:5" s="369" customFormat="1" ht="14.25">
      <c r="B209" s="370" t="s">
        <v>818</v>
      </c>
      <c r="C209" s="375">
        <v>256508</v>
      </c>
      <c r="D209" s="375">
        <v>0</v>
      </c>
      <c r="E209" s="375">
        <v>256508</v>
      </c>
    </row>
    <row r="210" spans="2:5" ht="15">
      <c r="B210" s="366" t="s">
        <v>815</v>
      </c>
      <c r="C210" s="374">
        <v>256508</v>
      </c>
      <c r="D210" s="374">
        <v>0</v>
      </c>
      <c r="E210" s="374">
        <v>256508</v>
      </c>
    </row>
    <row r="212" spans="1:5" ht="15.75" customHeight="1">
      <c r="A212" s="447" t="s">
        <v>916</v>
      </c>
      <c r="B212" s="449"/>
      <c r="C212" s="449"/>
      <c r="D212" s="449"/>
      <c r="E212" s="449"/>
    </row>
    <row r="213" spans="2:5" s="369" customFormat="1" ht="14.25">
      <c r="B213" s="370" t="s">
        <v>818</v>
      </c>
      <c r="C213" s="375">
        <v>2000</v>
      </c>
      <c r="D213" s="375">
        <v>0</v>
      </c>
      <c r="E213" s="375">
        <v>2000</v>
      </c>
    </row>
    <row r="214" spans="2:5" ht="15">
      <c r="B214" s="366" t="s">
        <v>815</v>
      </c>
      <c r="C214" s="374">
        <v>2000</v>
      </c>
      <c r="D214" s="374">
        <v>0</v>
      </c>
      <c r="E214" s="374">
        <v>2000</v>
      </c>
    </row>
    <row r="216" spans="1:5" ht="15.75" customHeight="1">
      <c r="A216" s="447" t="s">
        <v>915</v>
      </c>
      <c r="B216" s="449"/>
      <c r="C216" s="449"/>
      <c r="D216" s="449"/>
      <c r="E216" s="449"/>
    </row>
    <row r="217" spans="2:5" s="369" customFormat="1" ht="14.25">
      <c r="B217" s="370" t="s">
        <v>818</v>
      </c>
      <c r="C217" s="375">
        <v>5000</v>
      </c>
      <c r="D217" s="375">
        <v>0</v>
      </c>
      <c r="E217" s="375">
        <v>5000</v>
      </c>
    </row>
    <row r="218" spans="2:5" ht="15">
      <c r="B218" s="366" t="s">
        <v>815</v>
      </c>
      <c r="C218" s="374">
        <v>5000</v>
      </c>
      <c r="D218" s="374">
        <v>0</v>
      </c>
      <c r="E218" s="374">
        <v>5000</v>
      </c>
    </row>
    <row r="220" spans="1:5" ht="15.75" customHeight="1">
      <c r="A220" s="447" t="s">
        <v>914</v>
      </c>
      <c r="B220" s="449"/>
      <c r="C220" s="449"/>
      <c r="D220" s="449"/>
      <c r="E220" s="449"/>
    </row>
    <row r="221" spans="2:5" s="369" customFormat="1" ht="14.25">
      <c r="B221" s="370" t="s">
        <v>818</v>
      </c>
      <c r="C221" s="375">
        <v>105000</v>
      </c>
      <c r="D221" s="375">
        <v>0</v>
      </c>
      <c r="E221" s="375">
        <v>105000</v>
      </c>
    </row>
    <row r="222" spans="2:5" ht="15">
      <c r="B222" s="366" t="s">
        <v>815</v>
      </c>
      <c r="C222" s="374">
        <v>105000</v>
      </c>
      <c r="D222" s="374">
        <v>0</v>
      </c>
      <c r="E222" s="374">
        <v>105000</v>
      </c>
    </row>
    <row r="224" spans="1:5" ht="15.75" customHeight="1">
      <c r="A224" s="447" t="s">
        <v>913</v>
      </c>
      <c r="B224" s="449"/>
      <c r="C224" s="449"/>
      <c r="D224" s="449"/>
      <c r="E224" s="449"/>
    </row>
    <row r="225" spans="2:5" s="369" customFormat="1" ht="14.25">
      <c r="B225" s="370" t="s">
        <v>818</v>
      </c>
      <c r="C225" s="375">
        <v>3000</v>
      </c>
      <c r="D225" s="375">
        <v>0</v>
      </c>
      <c r="E225" s="375">
        <v>3000</v>
      </c>
    </row>
    <row r="226" spans="2:5" ht="15">
      <c r="B226" s="366" t="s">
        <v>815</v>
      </c>
      <c r="C226" s="374">
        <v>3000</v>
      </c>
      <c r="D226" s="374">
        <v>0</v>
      </c>
      <c r="E226" s="374">
        <v>3000</v>
      </c>
    </row>
    <row r="228" spans="1:5" ht="15.75" customHeight="1">
      <c r="A228" s="447" t="s">
        <v>912</v>
      </c>
      <c r="B228" s="449"/>
      <c r="C228" s="449"/>
      <c r="D228" s="449"/>
      <c r="E228" s="449"/>
    </row>
    <row r="229" spans="2:5" s="369" customFormat="1" ht="14.25">
      <c r="B229" s="370" t="s">
        <v>818</v>
      </c>
      <c r="C229" s="375">
        <v>107903</v>
      </c>
      <c r="D229" s="375">
        <v>0</v>
      </c>
      <c r="E229" s="375">
        <v>107903</v>
      </c>
    </row>
    <row r="230" spans="2:5" ht="15">
      <c r="B230" s="366" t="s">
        <v>816</v>
      </c>
      <c r="C230" s="374">
        <v>107903</v>
      </c>
      <c r="D230" s="374">
        <v>0</v>
      </c>
      <c r="E230" s="374">
        <v>107903</v>
      </c>
    </row>
    <row r="232" spans="1:5" ht="15.75" customHeight="1">
      <c r="A232" s="447" t="s">
        <v>911</v>
      </c>
      <c r="B232" s="449"/>
      <c r="C232" s="449"/>
      <c r="D232" s="449"/>
      <c r="E232" s="449"/>
    </row>
    <row r="233" spans="2:5" s="369" customFormat="1" ht="14.25">
      <c r="B233" s="370" t="s">
        <v>818</v>
      </c>
      <c r="C233" s="375">
        <v>40000</v>
      </c>
      <c r="D233" s="375">
        <v>0</v>
      </c>
      <c r="E233" s="375">
        <v>40000</v>
      </c>
    </row>
    <row r="234" spans="2:5" ht="15">
      <c r="B234" s="366" t="s">
        <v>815</v>
      </c>
      <c r="C234" s="374">
        <v>40000</v>
      </c>
      <c r="D234" s="374">
        <v>0</v>
      </c>
      <c r="E234" s="374">
        <v>40000</v>
      </c>
    </row>
    <row r="236" spans="1:5" ht="15.75" customHeight="1">
      <c r="A236" s="447" t="s">
        <v>910</v>
      </c>
      <c r="B236" s="449"/>
      <c r="C236" s="449"/>
      <c r="D236" s="449"/>
      <c r="E236" s="449"/>
    </row>
    <row r="237" spans="2:5" s="369" customFormat="1" ht="14.25">
      <c r="B237" s="370" t="s">
        <v>818</v>
      </c>
      <c r="C237" s="375">
        <v>3000</v>
      </c>
      <c r="D237" s="375">
        <v>0</v>
      </c>
      <c r="E237" s="375">
        <v>3000</v>
      </c>
    </row>
    <row r="238" spans="2:5" ht="15">
      <c r="B238" s="366" t="s">
        <v>815</v>
      </c>
      <c r="C238" s="374">
        <v>3000</v>
      </c>
      <c r="D238" s="374">
        <v>0</v>
      </c>
      <c r="E238" s="374">
        <v>3000</v>
      </c>
    </row>
    <row r="240" spans="1:5" ht="15.75" customHeight="1">
      <c r="A240" s="447" t="s">
        <v>909</v>
      </c>
      <c r="B240" s="449"/>
      <c r="C240" s="449"/>
      <c r="D240" s="449"/>
      <c r="E240" s="449"/>
    </row>
    <row r="241" spans="2:5" s="369" customFormat="1" ht="14.25">
      <c r="B241" s="370" t="s">
        <v>818</v>
      </c>
      <c r="C241" s="375">
        <v>220000</v>
      </c>
      <c r="D241" s="375">
        <v>0</v>
      </c>
      <c r="E241" s="375">
        <v>220000</v>
      </c>
    </row>
    <row r="242" spans="2:5" ht="15">
      <c r="B242" s="366" t="s">
        <v>812</v>
      </c>
      <c r="C242" s="374">
        <v>220000</v>
      </c>
      <c r="D242" s="374">
        <v>0</v>
      </c>
      <c r="E242" s="374">
        <v>220000</v>
      </c>
    </row>
    <row r="243" ht="18.75" customHeight="1"/>
    <row r="244" spans="1:5" ht="31.5" customHeight="1">
      <c r="A244" s="451" t="s">
        <v>908</v>
      </c>
      <c r="B244" s="452"/>
      <c r="C244" s="452"/>
      <c r="D244" s="452"/>
      <c r="E244" s="452"/>
    </row>
    <row r="245" spans="1:5" ht="14.25">
      <c r="A245" s="367"/>
      <c r="B245" s="368" t="s">
        <v>818</v>
      </c>
      <c r="C245" s="373">
        <v>304960</v>
      </c>
      <c r="D245" s="373">
        <v>0</v>
      </c>
      <c r="E245" s="373">
        <v>304960</v>
      </c>
    </row>
    <row r="246" spans="1:5" ht="14.25">
      <c r="A246" s="367"/>
      <c r="B246" s="368" t="s">
        <v>817</v>
      </c>
      <c r="C246" s="373">
        <v>294083</v>
      </c>
      <c r="D246" s="373">
        <v>0</v>
      </c>
      <c r="E246" s="373">
        <v>294083</v>
      </c>
    </row>
    <row r="247" spans="1:5" ht="14.25">
      <c r="A247" s="367"/>
      <c r="B247" s="368" t="s">
        <v>816</v>
      </c>
      <c r="C247" s="373">
        <v>9877</v>
      </c>
      <c r="D247" s="373">
        <v>0</v>
      </c>
      <c r="E247" s="373">
        <v>9877</v>
      </c>
    </row>
    <row r="248" spans="1:5" ht="14.25">
      <c r="A248" s="367"/>
      <c r="B248" s="368" t="s">
        <v>813</v>
      </c>
      <c r="C248" s="373">
        <v>1000</v>
      </c>
      <c r="D248" s="373">
        <v>0</v>
      </c>
      <c r="E248" s="373">
        <v>1000</v>
      </c>
    </row>
    <row r="250" spans="1:5" ht="15.75" customHeight="1">
      <c r="A250" s="447" t="s">
        <v>907</v>
      </c>
      <c r="B250" s="449"/>
      <c r="C250" s="449"/>
      <c r="D250" s="449"/>
      <c r="E250" s="449"/>
    </row>
    <row r="251" spans="2:5" s="369" customFormat="1" ht="14.25">
      <c r="B251" s="370" t="s">
        <v>818</v>
      </c>
      <c r="C251" s="375">
        <v>304960</v>
      </c>
      <c r="D251" s="375">
        <v>0</v>
      </c>
      <c r="E251" s="375">
        <v>304960</v>
      </c>
    </row>
    <row r="252" spans="2:5" ht="15">
      <c r="B252" s="366" t="s">
        <v>817</v>
      </c>
      <c r="C252" s="374">
        <v>294083</v>
      </c>
      <c r="D252" s="374">
        <v>0</v>
      </c>
      <c r="E252" s="374">
        <v>294083</v>
      </c>
    </row>
    <row r="253" spans="2:5" ht="15">
      <c r="B253" s="366" t="s">
        <v>816</v>
      </c>
      <c r="C253" s="374">
        <v>9877</v>
      </c>
      <c r="D253" s="374">
        <v>0</v>
      </c>
      <c r="E253" s="374">
        <v>9877</v>
      </c>
    </row>
    <row r="254" spans="2:5" ht="15">
      <c r="B254" s="366" t="s">
        <v>813</v>
      </c>
      <c r="C254" s="374">
        <v>1000</v>
      </c>
      <c r="D254" s="374">
        <v>0</v>
      </c>
      <c r="E254" s="374">
        <v>1000</v>
      </c>
    </row>
    <row r="255" ht="19.5" customHeight="1"/>
    <row r="256" spans="1:5" ht="31.5" customHeight="1">
      <c r="A256" s="451" t="s">
        <v>906</v>
      </c>
      <c r="B256" s="452"/>
      <c r="C256" s="452"/>
      <c r="D256" s="452"/>
      <c r="E256" s="452"/>
    </row>
    <row r="257" spans="1:5" ht="14.25">
      <c r="A257" s="367"/>
      <c r="B257" s="368" t="s">
        <v>818</v>
      </c>
      <c r="C257" s="373">
        <v>4058066</v>
      </c>
      <c r="D257" s="373">
        <v>0</v>
      </c>
      <c r="E257" s="373">
        <v>4058066</v>
      </c>
    </row>
    <row r="258" spans="1:5" ht="14.25">
      <c r="A258" s="367"/>
      <c r="B258" s="368" t="s">
        <v>817</v>
      </c>
      <c r="C258" s="373">
        <v>3624064</v>
      </c>
      <c r="D258" s="373">
        <v>0</v>
      </c>
      <c r="E258" s="373">
        <v>3624064</v>
      </c>
    </row>
    <row r="259" spans="1:5" ht="14.25">
      <c r="A259" s="367"/>
      <c r="B259" s="368" t="s">
        <v>816</v>
      </c>
      <c r="C259" s="373">
        <v>417988</v>
      </c>
      <c r="D259" s="373">
        <v>0</v>
      </c>
      <c r="E259" s="373">
        <v>417988</v>
      </c>
    </row>
    <row r="260" spans="1:5" ht="14.25">
      <c r="A260" s="367"/>
      <c r="B260" s="368" t="s">
        <v>813</v>
      </c>
      <c r="C260" s="373">
        <v>13514</v>
      </c>
      <c r="D260" s="373">
        <v>0</v>
      </c>
      <c r="E260" s="373">
        <v>13514</v>
      </c>
    </row>
    <row r="261" spans="1:5" ht="14.25">
      <c r="A261" s="367"/>
      <c r="B261" s="368" t="s">
        <v>812</v>
      </c>
      <c r="C261" s="373">
        <v>2500</v>
      </c>
      <c r="D261" s="373">
        <v>0</v>
      </c>
      <c r="E261" s="373">
        <v>2500</v>
      </c>
    </row>
    <row r="263" spans="1:5" ht="15.75" customHeight="1">
      <c r="A263" s="447" t="s">
        <v>905</v>
      </c>
      <c r="B263" s="449"/>
      <c r="C263" s="449"/>
      <c r="D263" s="449"/>
      <c r="E263" s="449"/>
    </row>
    <row r="264" spans="2:5" s="369" customFormat="1" ht="14.25">
      <c r="B264" s="370" t="s">
        <v>818</v>
      </c>
      <c r="C264" s="375">
        <v>4058066</v>
      </c>
      <c r="D264" s="375">
        <v>0</v>
      </c>
      <c r="E264" s="375">
        <v>4058066</v>
      </c>
    </row>
    <row r="265" spans="2:5" ht="15">
      <c r="B265" s="366" t="s">
        <v>817</v>
      </c>
      <c r="C265" s="374">
        <v>3624064</v>
      </c>
      <c r="D265" s="374">
        <v>0</v>
      </c>
      <c r="E265" s="374">
        <v>3624064</v>
      </c>
    </row>
    <row r="266" spans="2:5" ht="15">
      <c r="B266" s="366" t="s">
        <v>816</v>
      </c>
      <c r="C266" s="374">
        <v>417988</v>
      </c>
      <c r="D266" s="374">
        <v>0</v>
      </c>
      <c r="E266" s="374">
        <v>417988</v>
      </c>
    </row>
    <row r="267" spans="2:5" ht="15">
      <c r="B267" s="366" t="s">
        <v>813</v>
      </c>
      <c r="C267" s="374">
        <v>13514</v>
      </c>
      <c r="D267" s="374">
        <v>0</v>
      </c>
      <c r="E267" s="374">
        <v>13514</v>
      </c>
    </row>
    <row r="268" spans="2:5" ht="15">
      <c r="B268" s="366" t="s">
        <v>812</v>
      </c>
      <c r="C268" s="374">
        <v>2500</v>
      </c>
      <c r="D268" s="374">
        <v>0</v>
      </c>
      <c r="E268" s="374">
        <v>2500</v>
      </c>
    </row>
    <row r="269" ht="21" customHeight="1"/>
    <row r="270" spans="1:5" ht="15">
      <c r="A270" s="451" t="s">
        <v>904</v>
      </c>
      <c r="B270" s="452"/>
      <c r="C270" s="452"/>
      <c r="D270" s="452"/>
      <c r="E270" s="452"/>
    </row>
    <row r="271" spans="1:5" ht="14.25">
      <c r="A271" s="367"/>
      <c r="B271" s="368" t="s">
        <v>818</v>
      </c>
      <c r="C271" s="373">
        <f>1778979+15310</f>
        <v>1794289</v>
      </c>
      <c r="D271" s="373">
        <v>0</v>
      </c>
      <c r="E271" s="373">
        <v>1794289</v>
      </c>
    </row>
    <row r="272" spans="1:5" ht="14.25">
      <c r="A272" s="367"/>
      <c r="B272" s="368" t="s">
        <v>817</v>
      </c>
      <c r="C272" s="373">
        <v>784545</v>
      </c>
      <c r="D272" s="373">
        <v>0</v>
      </c>
      <c r="E272" s="373">
        <v>784545</v>
      </c>
    </row>
    <row r="273" spans="1:5" ht="14.25">
      <c r="A273" s="367"/>
      <c r="B273" s="368" t="s">
        <v>816</v>
      </c>
      <c r="C273" s="373">
        <f>858001+13817</f>
        <v>871818</v>
      </c>
      <c r="D273" s="373">
        <v>0</v>
      </c>
      <c r="E273" s="373">
        <v>871818</v>
      </c>
    </row>
    <row r="274" spans="1:5" ht="14.25">
      <c r="A274" s="367"/>
      <c r="B274" s="368" t="s">
        <v>813</v>
      </c>
      <c r="C274" s="373">
        <f>136433+1493</f>
        <v>137926</v>
      </c>
      <c r="D274" s="373">
        <v>0</v>
      </c>
      <c r="E274" s="373">
        <v>137926</v>
      </c>
    </row>
    <row r="276" spans="1:5" ht="15.75" customHeight="1">
      <c r="A276" s="447" t="s">
        <v>903</v>
      </c>
      <c r="B276" s="449"/>
      <c r="C276" s="449"/>
      <c r="D276" s="449"/>
      <c r="E276" s="449"/>
    </row>
    <row r="277" spans="2:5" s="369" customFormat="1" ht="14.25">
      <c r="B277" s="370" t="s">
        <v>818</v>
      </c>
      <c r="C277" s="375">
        <v>698661</v>
      </c>
      <c r="D277" s="375">
        <v>0</v>
      </c>
      <c r="E277" s="375">
        <v>698661</v>
      </c>
    </row>
    <row r="278" spans="2:5" ht="15">
      <c r="B278" s="366" t="s">
        <v>816</v>
      </c>
      <c r="C278" s="374">
        <v>647861</v>
      </c>
      <c r="D278" s="374">
        <v>0</v>
      </c>
      <c r="E278" s="374">
        <v>647861</v>
      </c>
    </row>
    <row r="279" spans="2:5" ht="15">
      <c r="B279" s="366" t="s">
        <v>813</v>
      </c>
      <c r="C279" s="374">
        <v>50800</v>
      </c>
      <c r="D279" s="374">
        <v>0</v>
      </c>
      <c r="E279" s="374">
        <v>50800</v>
      </c>
    </row>
    <row r="281" spans="1:5" ht="15.75" customHeight="1">
      <c r="A281" s="447" t="s">
        <v>902</v>
      </c>
      <c r="B281" s="449"/>
      <c r="C281" s="449"/>
      <c r="D281" s="449"/>
      <c r="E281" s="449"/>
    </row>
    <row r="282" spans="2:5" s="369" customFormat="1" ht="14.25">
      <c r="B282" s="370" t="s">
        <v>818</v>
      </c>
      <c r="C282" s="375">
        <v>719984</v>
      </c>
      <c r="D282" s="375">
        <v>0</v>
      </c>
      <c r="E282" s="375">
        <v>719984</v>
      </c>
    </row>
    <row r="283" spans="2:5" ht="15">
      <c r="B283" s="366" t="s">
        <v>817</v>
      </c>
      <c r="C283" s="374">
        <v>563571</v>
      </c>
      <c r="D283" s="374">
        <v>0</v>
      </c>
      <c r="E283" s="374">
        <v>563571</v>
      </c>
    </row>
    <row r="284" spans="2:5" ht="15">
      <c r="B284" s="366" t="s">
        <v>816</v>
      </c>
      <c r="C284" s="374">
        <v>139287</v>
      </c>
      <c r="D284" s="374">
        <v>0</v>
      </c>
      <c r="E284" s="374">
        <v>139287</v>
      </c>
    </row>
    <row r="285" spans="2:5" ht="15">
      <c r="B285" s="366" t="s">
        <v>813</v>
      </c>
      <c r="C285" s="374">
        <v>17126</v>
      </c>
      <c r="D285" s="374">
        <v>0</v>
      </c>
      <c r="E285" s="374">
        <v>17126</v>
      </c>
    </row>
    <row r="287" spans="1:5" ht="15.75" customHeight="1">
      <c r="A287" s="447" t="s">
        <v>901</v>
      </c>
      <c r="B287" s="449"/>
      <c r="C287" s="449"/>
      <c r="D287" s="449"/>
      <c r="E287" s="449"/>
    </row>
    <row r="288" spans="2:5" s="369" customFormat="1" ht="14.25">
      <c r="B288" s="370" t="s">
        <v>818</v>
      </c>
      <c r="C288" s="375">
        <v>176274</v>
      </c>
      <c r="D288" s="375">
        <v>0</v>
      </c>
      <c r="E288" s="375">
        <v>176274</v>
      </c>
    </row>
    <row r="289" spans="2:5" ht="15">
      <c r="B289" s="366" t="s">
        <v>817</v>
      </c>
      <c r="C289" s="374">
        <v>165574</v>
      </c>
      <c r="D289" s="374">
        <v>0</v>
      </c>
      <c r="E289" s="374">
        <v>165574</v>
      </c>
    </row>
    <row r="290" spans="2:5" ht="15">
      <c r="B290" s="366" t="s">
        <v>816</v>
      </c>
      <c r="C290" s="374">
        <v>10700</v>
      </c>
      <c r="D290" s="374">
        <v>0</v>
      </c>
      <c r="E290" s="374">
        <v>10700</v>
      </c>
    </row>
    <row r="292" spans="1:5" ht="15.75" customHeight="1">
      <c r="A292" s="447" t="s">
        <v>900</v>
      </c>
      <c r="B292" s="449"/>
      <c r="C292" s="449"/>
      <c r="D292" s="449"/>
      <c r="E292" s="449"/>
    </row>
    <row r="293" spans="2:5" s="369" customFormat="1" ht="14.25">
      <c r="B293" s="370" t="s">
        <v>818</v>
      </c>
      <c r="C293" s="375">
        <v>65034</v>
      </c>
      <c r="D293" s="375">
        <v>0</v>
      </c>
      <c r="E293" s="375">
        <v>65034</v>
      </c>
    </row>
    <row r="294" spans="2:5" ht="15">
      <c r="B294" s="366" t="s">
        <v>817</v>
      </c>
      <c r="C294" s="374">
        <v>24500</v>
      </c>
      <c r="D294" s="374">
        <v>0</v>
      </c>
      <c r="E294" s="374">
        <v>24500</v>
      </c>
    </row>
    <row r="295" spans="2:5" ht="15">
      <c r="B295" s="366" t="s">
        <v>816</v>
      </c>
      <c r="C295" s="374">
        <v>40534</v>
      </c>
      <c r="D295" s="374">
        <v>0</v>
      </c>
      <c r="E295" s="374">
        <v>40534</v>
      </c>
    </row>
    <row r="297" spans="1:5" ht="15.75" customHeight="1">
      <c r="A297" s="447" t="s">
        <v>899</v>
      </c>
      <c r="B297" s="449"/>
      <c r="C297" s="449"/>
      <c r="D297" s="449"/>
      <c r="E297" s="449"/>
    </row>
    <row r="298" spans="2:5" s="369" customFormat="1" ht="14.25">
      <c r="B298" s="370" t="s">
        <v>818</v>
      </c>
      <c r="C298" s="375">
        <v>134336</v>
      </c>
      <c r="D298" s="375">
        <v>0</v>
      </c>
      <c r="E298" s="375">
        <v>134336</v>
      </c>
    </row>
    <row r="299" spans="2:5" ht="15">
      <c r="B299" s="366" t="s">
        <v>817</v>
      </c>
      <c r="C299" s="374">
        <v>30900</v>
      </c>
      <c r="D299" s="374">
        <v>0</v>
      </c>
      <c r="E299" s="374">
        <v>30900</v>
      </c>
    </row>
    <row r="300" spans="2:5" ht="15">
      <c r="B300" s="366" t="s">
        <v>816</v>
      </c>
      <c r="C300" s="374">
        <v>33436</v>
      </c>
      <c r="D300" s="374">
        <v>0</v>
      </c>
      <c r="E300" s="374">
        <v>33436</v>
      </c>
    </row>
    <row r="301" spans="2:5" ht="15">
      <c r="B301" s="366" t="s">
        <v>813</v>
      </c>
      <c r="C301" s="374">
        <v>70000</v>
      </c>
      <c r="D301" s="374">
        <v>0</v>
      </c>
      <c r="E301" s="374">
        <v>70000</v>
      </c>
    </row>
    <row r="302" ht="20.25" customHeight="1"/>
    <row r="303" spans="1:5" ht="31.5" customHeight="1">
      <c r="A303" s="451" t="s">
        <v>898</v>
      </c>
      <c r="B303" s="452"/>
      <c r="C303" s="452"/>
      <c r="D303" s="452"/>
      <c r="E303" s="452"/>
    </row>
    <row r="304" spans="1:5" s="369" customFormat="1" ht="14.25">
      <c r="A304" s="367"/>
      <c r="B304" s="368" t="s">
        <v>818</v>
      </c>
      <c r="C304" s="373">
        <v>734409</v>
      </c>
      <c r="D304" s="373">
        <v>0</v>
      </c>
      <c r="E304" s="373">
        <v>734409</v>
      </c>
    </row>
    <row r="305" spans="1:5" ht="14.25">
      <c r="A305" s="367"/>
      <c r="B305" s="368" t="s">
        <v>817</v>
      </c>
      <c r="C305" s="373">
        <v>490596</v>
      </c>
      <c r="D305" s="373">
        <v>0</v>
      </c>
      <c r="E305" s="373">
        <v>490596</v>
      </c>
    </row>
    <row r="306" spans="1:5" ht="14.25">
      <c r="A306" s="367"/>
      <c r="B306" s="368" t="s">
        <v>816</v>
      </c>
      <c r="C306" s="373">
        <v>219533</v>
      </c>
      <c r="D306" s="373">
        <v>0</v>
      </c>
      <c r="E306" s="373">
        <v>219533</v>
      </c>
    </row>
    <row r="307" spans="1:5" ht="14.25">
      <c r="A307" s="367"/>
      <c r="B307" s="368" t="s">
        <v>813</v>
      </c>
      <c r="C307" s="373">
        <v>24280</v>
      </c>
      <c r="D307" s="373">
        <v>0</v>
      </c>
      <c r="E307" s="373">
        <v>24280</v>
      </c>
    </row>
    <row r="309" spans="1:5" ht="15.75" customHeight="1">
      <c r="A309" s="447" t="s">
        <v>897</v>
      </c>
      <c r="B309" s="449"/>
      <c r="C309" s="449"/>
      <c r="D309" s="449"/>
      <c r="E309" s="449"/>
    </row>
    <row r="310" spans="2:5" s="369" customFormat="1" ht="14.25">
      <c r="B310" s="370" t="s">
        <v>818</v>
      </c>
      <c r="C310" s="375">
        <v>734409</v>
      </c>
      <c r="D310" s="375">
        <v>0</v>
      </c>
      <c r="E310" s="375">
        <v>734409</v>
      </c>
    </row>
    <row r="311" spans="2:5" ht="15">
      <c r="B311" s="366" t="s">
        <v>817</v>
      </c>
      <c r="C311" s="374">
        <v>490596</v>
      </c>
      <c r="D311" s="374">
        <v>0</v>
      </c>
      <c r="E311" s="374">
        <v>490596</v>
      </c>
    </row>
    <row r="312" spans="2:5" ht="15">
      <c r="B312" s="366" t="s">
        <v>816</v>
      </c>
      <c r="C312" s="374">
        <v>219533</v>
      </c>
      <c r="D312" s="374">
        <v>0</v>
      </c>
      <c r="E312" s="374">
        <v>219533</v>
      </c>
    </row>
    <row r="313" spans="2:5" ht="15">
      <c r="B313" s="366" t="s">
        <v>813</v>
      </c>
      <c r="C313" s="374">
        <v>24280</v>
      </c>
      <c r="D313" s="374">
        <v>0</v>
      </c>
      <c r="E313" s="374">
        <v>24280</v>
      </c>
    </row>
    <row r="314" ht="18.75" customHeight="1"/>
    <row r="315" spans="1:5" ht="15.75" customHeight="1">
      <c r="A315" s="445" t="s">
        <v>896</v>
      </c>
      <c r="B315" s="452"/>
      <c r="C315" s="452"/>
      <c r="D315" s="452"/>
      <c r="E315" s="452"/>
    </row>
    <row r="316" spans="1:5" ht="14.25">
      <c r="A316" s="392"/>
      <c r="B316" s="393" t="s">
        <v>818</v>
      </c>
      <c r="C316" s="389">
        <f>11551891</f>
        <v>11551891</v>
      </c>
      <c r="D316" s="389">
        <v>1278430</v>
      </c>
      <c r="E316" s="389">
        <f>11551891+1278430</f>
        <v>12830321</v>
      </c>
    </row>
    <row r="317" spans="1:5" ht="14.25">
      <c r="A317" s="392"/>
      <c r="B317" s="393" t="s">
        <v>817</v>
      </c>
      <c r="C317" s="389">
        <v>1006007</v>
      </c>
      <c r="D317" s="389">
        <v>0</v>
      </c>
      <c r="E317" s="389">
        <v>1006007</v>
      </c>
    </row>
    <row r="318" spans="1:5" ht="14.25">
      <c r="A318" s="392"/>
      <c r="B318" s="393" t="s">
        <v>816</v>
      </c>
      <c r="C318" s="389">
        <v>6588953</v>
      </c>
      <c r="D318" s="389">
        <v>0</v>
      </c>
      <c r="E318" s="389">
        <v>6588953</v>
      </c>
    </row>
    <row r="319" spans="1:5" ht="14.25">
      <c r="A319" s="392"/>
      <c r="B319" s="393" t="s">
        <v>815</v>
      </c>
      <c r="C319" s="389">
        <v>140000</v>
      </c>
      <c r="D319" s="389">
        <v>0</v>
      </c>
      <c r="E319" s="389">
        <v>140000</v>
      </c>
    </row>
    <row r="320" spans="1:5" ht="14.25">
      <c r="A320" s="392"/>
      <c r="B320" s="393" t="s">
        <v>813</v>
      </c>
      <c r="C320" s="389">
        <f>3788131</f>
        <v>3788131</v>
      </c>
      <c r="D320" s="389">
        <v>1278430</v>
      </c>
      <c r="E320" s="389">
        <f>3788131+1278430</f>
        <v>5066561</v>
      </c>
    </row>
    <row r="321" spans="1:5" ht="14.25">
      <c r="A321" s="392"/>
      <c r="B321" s="393" t="s">
        <v>812</v>
      </c>
      <c r="C321" s="389">
        <v>28800</v>
      </c>
      <c r="D321" s="389">
        <v>0</v>
      </c>
      <c r="E321" s="389">
        <v>28800</v>
      </c>
    </row>
    <row r="323" spans="1:5" ht="15.75" customHeight="1">
      <c r="A323" s="447" t="s">
        <v>895</v>
      </c>
      <c r="B323" s="449"/>
      <c r="C323" s="449"/>
      <c r="D323" s="449"/>
      <c r="E323" s="449"/>
    </row>
    <row r="324" spans="2:5" s="369" customFormat="1" ht="14.25">
      <c r="B324" s="370" t="s">
        <v>818</v>
      </c>
      <c r="C324" s="375">
        <v>2061852</v>
      </c>
      <c r="D324" s="375">
        <v>0</v>
      </c>
      <c r="E324" s="375">
        <v>2061852</v>
      </c>
    </row>
    <row r="325" spans="2:5" ht="15">
      <c r="B325" s="366" t="s">
        <v>817</v>
      </c>
      <c r="C325" s="374">
        <v>85000</v>
      </c>
      <c r="D325" s="374">
        <v>0</v>
      </c>
      <c r="E325" s="374">
        <v>85000</v>
      </c>
    </row>
    <row r="326" spans="2:5" ht="15">
      <c r="B326" s="366" t="s">
        <v>816</v>
      </c>
      <c r="C326" s="374">
        <v>1714149</v>
      </c>
      <c r="D326" s="374">
        <v>0</v>
      </c>
      <c r="E326" s="374">
        <v>1714149</v>
      </c>
    </row>
    <row r="327" spans="2:5" ht="15">
      <c r="B327" s="366" t="s">
        <v>813</v>
      </c>
      <c r="C327" s="374">
        <v>262703</v>
      </c>
      <c r="D327" s="374">
        <v>0</v>
      </c>
      <c r="E327" s="374">
        <v>262703</v>
      </c>
    </row>
    <row r="329" spans="1:5" ht="15.75" customHeight="1">
      <c r="A329" s="447" t="s">
        <v>970</v>
      </c>
      <c r="B329" s="449"/>
      <c r="C329" s="449"/>
      <c r="D329" s="449"/>
      <c r="E329" s="449"/>
    </row>
    <row r="330" spans="2:5" s="369" customFormat="1" ht="14.25">
      <c r="B330" s="370" t="s">
        <v>818</v>
      </c>
      <c r="C330" s="375">
        <v>2817396</v>
      </c>
      <c r="D330" s="375">
        <v>0</v>
      </c>
      <c r="E330" s="375">
        <v>2817396</v>
      </c>
    </row>
    <row r="331" spans="2:5" ht="15">
      <c r="B331" s="366" t="s">
        <v>813</v>
      </c>
      <c r="C331" s="374">
        <v>2817396</v>
      </c>
      <c r="D331" s="374">
        <v>0</v>
      </c>
      <c r="E331" s="374">
        <v>2817396</v>
      </c>
    </row>
    <row r="333" spans="1:5" ht="16.5" customHeight="1">
      <c r="A333" s="447" t="s">
        <v>969</v>
      </c>
      <c r="B333" s="449"/>
      <c r="C333" s="449"/>
      <c r="D333" s="449"/>
      <c r="E333" s="449"/>
    </row>
    <row r="334" spans="2:5" s="369" customFormat="1" ht="14.25">
      <c r="B334" s="370" t="s">
        <v>818</v>
      </c>
      <c r="C334" s="375">
        <v>231561</v>
      </c>
      <c r="D334" s="375">
        <v>0</v>
      </c>
      <c r="E334" s="375">
        <v>231561</v>
      </c>
    </row>
    <row r="335" spans="2:5" ht="15">
      <c r="B335" s="366" t="s">
        <v>813</v>
      </c>
      <c r="C335" s="374">
        <v>231561</v>
      </c>
      <c r="D335" s="374">
        <v>0</v>
      </c>
      <c r="E335" s="374">
        <v>231561</v>
      </c>
    </row>
    <row r="337" spans="1:5" ht="15">
      <c r="A337" s="453" t="s">
        <v>980</v>
      </c>
      <c r="B337" s="449"/>
      <c r="C337" s="449"/>
      <c r="D337" s="449"/>
      <c r="E337" s="449"/>
    </row>
    <row r="338" spans="1:5" ht="14.25">
      <c r="A338" s="394"/>
      <c r="B338" s="395" t="s">
        <v>818</v>
      </c>
      <c r="C338" s="390">
        <v>0</v>
      </c>
      <c r="D338" s="390">
        <v>1278430</v>
      </c>
      <c r="E338" s="390">
        <v>1278430</v>
      </c>
    </row>
    <row r="339" spans="1:5" ht="15">
      <c r="A339" s="396"/>
      <c r="B339" s="397" t="s">
        <v>813</v>
      </c>
      <c r="C339" s="391">
        <v>0</v>
      </c>
      <c r="D339" s="391">
        <v>1278430</v>
      </c>
      <c r="E339" s="391">
        <v>1278430</v>
      </c>
    </row>
    <row r="340" spans="1:5" ht="12.75">
      <c r="A340" s="396"/>
      <c r="B340" s="396"/>
      <c r="C340" s="398"/>
      <c r="D340" s="398"/>
      <c r="E340" s="398"/>
    </row>
    <row r="342" spans="1:5" ht="15.75" customHeight="1">
      <c r="A342" s="447" t="s">
        <v>894</v>
      </c>
      <c r="B342" s="449"/>
      <c r="C342" s="449"/>
      <c r="D342" s="449"/>
      <c r="E342" s="449"/>
    </row>
    <row r="343" spans="2:5" s="369" customFormat="1" ht="14.25">
      <c r="B343" s="370" t="s">
        <v>818</v>
      </c>
      <c r="C343" s="375">
        <v>1690428</v>
      </c>
      <c r="D343" s="375">
        <v>0</v>
      </c>
      <c r="E343" s="375">
        <v>1690428</v>
      </c>
    </row>
    <row r="344" spans="2:5" ht="15">
      <c r="B344" s="366" t="s">
        <v>816</v>
      </c>
      <c r="C344" s="374">
        <v>1690428</v>
      </c>
      <c r="D344" s="374">
        <v>0</v>
      </c>
      <c r="E344" s="374">
        <v>1690428</v>
      </c>
    </row>
    <row r="346" spans="1:5" ht="15.75" customHeight="1">
      <c r="A346" s="447" t="s">
        <v>893</v>
      </c>
      <c r="B346" s="449"/>
      <c r="C346" s="449"/>
      <c r="D346" s="449"/>
      <c r="E346" s="449"/>
    </row>
    <row r="347" spans="2:5" s="369" customFormat="1" ht="14.25">
      <c r="B347" s="370" t="s">
        <v>818</v>
      </c>
      <c r="C347" s="375">
        <v>548659</v>
      </c>
      <c r="D347" s="375">
        <v>0</v>
      </c>
      <c r="E347" s="375">
        <v>548659</v>
      </c>
    </row>
    <row r="348" spans="2:5" ht="15">
      <c r="B348" s="366" t="s">
        <v>816</v>
      </c>
      <c r="C348" s="374">
        <v>548659</v>
      </c>
      <c r="D348" s="374">
        <v>0</v>
      </c>
      <c r="E348" s="374">
        <v>548659</v>
      </c>
    </row>
    <row r="350" spans="1:5" ht="15.75" customHeight="1">
      <c r="A350" s="447" t="s">
        <v>892</v>
      </c>
      <c r="B350" s="449"/>
      <c r="C350" s="449"/>
      <c r="D350" s="449"/>
      <c r="E350" s="449"/>
    </row>
    <row r="351" spans="2:5" s="369" customFormat="1" ht="14.25">
      <c r="B351" s="370" t="s">
        <v>818</v>
      </c>
      <c r="C351" s="375">
        <v>657494</v>
      </c>
      <c r="D351" s="375">
        <v>0</v>
      </c>
      <c r="E351" s="375">
        <v>657494</v>
      </c>
    </row>
    <row r="352" spans="2:5" ht="15">
      <c r="B352" s="366" t="s">
        <v>816</v>
      </c>
      <c r="C352" s="374">
        <v>639645</v>
      </c>
      <c r="D352" s="374">
        <v>0</v>
      </c>
      <c r="E352" s="374">
        <v>639645</v>
      </c>
    </row>
    <row r="353" spans="2:5" ht="15">
      <c r="B353" s="366" t="s">
        <v>813</v>
      </c>
      <c r="C353" s="374">
        <v>17849</v>
      </c>
      <c r="D353" s="374">
        <v>0</v>
      </c>
      <c r="E353" s="374">
        <v>17849</v>
      </c>
    </row>
    <row r="355" spans="1:5" ht="31.5" customHeight="1">
      <c r="A355" s="447" t="s">
        <v>981</v>
      </c>
      <c r="B355" s="449"/>
      <c r="C355" s="449"/>
      <c r="D355" s="449"/>
      <c r="E355" s="449"/>
    </row>
    <row r="356" spans="2:5" s="369" customFormat="1" ht="14.25">
      <c r="B356" s="370" t="s">
        <v>818</v>
      </c>
      <c r="C356" s="375">
        <v>254691</v>
      </c>
      <c r="D356" s="375">
        <v>0</v>
      </c>
      <c r="E356" s="375">
        <v>254691</v>
      </c>
    </row>
    <row r="357" spans="2:5" ht="15">
      <c r="B357" s="366" t="s">
        <v>813</v>
      </c>
      <c r="C357" s="374">
        <v>254691</v>
      </c>
      <c r="D357" s="374">
        <v>0</v>
      </c>
      <c r="E357" s="374">
        <v>254691</v>
      </c>
    </row>
    <row r="359" spans="1:5" ht="15.75" customHeight="1">
      <c r="A359" s="447" t="s">
        <v>891</v>
      </c>
      <c r="B359" s="449"/>
      <c r="C359" s="449"/>
      <c r="D359" s="449"/>
      <c r="E359" s="449"/>
    </row>
    <row r="360" spans="2:5" s="369" customFormat="1" ht="14.25">
      <c r="B360" s="370" t="s">
        <v>818</v>
      </c>
      <c r="C360" s="375">
        <v>1063592</v>
      </c>
      <c r="D360" s="375">
        <v>0</v>
      </c>
      <c r="E360" s="375">
        <v>1063592</v>
      </c>
    </row>
    <row r="361" spans="2:5" ht="15">
      <c r="B361" s="366" t="s">
        <v>817</v>
      </c>
      <c r="C361" s="374">
        <v>919207</v>
      </c>
      <c r="D361" s="374">
        <v>0</v>
      </c>
      <c r="E361" s="374">
        <v>919207</v>
      </c>
    </row>
    <row r="362" spans="2:5" ht="15">
      <c r="B362" s="366" t="s">
        <v>816</v>
      </c>
      <c r="C362" s="374">
        <v>133059</v>
      </c>
      <c r="D362" s="374">
        <v>0</v>
      </c>
      <c r="E362" s="374">
        <v>133059</v>
      </c>
    </row>
    <row r="363" spans="2:5" ht="15">
      <c r="B363" s="366" t="s">
        <v>813</v>
      </c>
      <c r="C363" s="374">
        <v>11326</v>
      </c>
      <c r="D363" s="374">
        <v>0</v>
      </c>
      <c r="E363" s="374">
        <v>11326</v>
      </c>
    </row>
    <row r="365" spans="1:5" ht="15.75" customHeight="1">
      <c r="A365" s="447" t="s">
        <v>890</v>
      </c>
      <c r="B365" s="449"/>
      <c r="C365" s="449"/>
      <c r="D365" s="449"/>
      <c r="E365" s="449"/>
    </row>
    <row r="366" spans="2:5" s="369" customFormat="1" ht="14.25">
      <c r="B366" s="370" t="s">
        <v>818</v>
      </c>
      <c r="C366" s="375">
        <v>2172418</v>
      </c>
      <c r="D366" s="375">
        <v>0</v>
      </c>
      <c r="E366" s="375">
        <v>2172418</v>
      </c>
    </row>
    <row r="367" spans="2:5" ht="15">
      <c r="B367" s="366" t="s">
        <v>816</v>
      </c>
      <c r="C367" s="374">
        <v>1835013</v>
      </c>
      <c r="D367" s="374">
        <v>0</v>
      </c>
      <c r="E367" s="374">
        <v>1835013</v>
      </c>
    </row>
    <row r="368" spans="2:5" ht="15">
      <c r="B368" s="366" t="s">
        <v>815</v>
      </c>
      <c r="C368" s="374">
        <v>140000</v>
      </c>
      <c r="D368" s="374">
        <v>0</v>
      </c>
      <c r="E368" s="374">
        <v>140000</v>
      </c>
    </row>
    <row r="369" spans="2:5" ht="15">
      <c r="B369" s="366" t="s">
        <v>813</v>
      </c>
      <c r="C369" s="374">
        <v>192605</v>
      </c>
      <c r="D369" s="374">
        <v>0</v>
      </c>
      <c r="E369" s="374">
        <v>192605</v>
      </c>
    </row>
    <row r="370" spans="2:5" ht="15">
      <c r="B370" s="366" t="s">
        <v>812</v>
      </c>
      <c r="C370" s="374">
        <v>4800</v>
      </c>
      <c r="D370" s="374">
        <v>0</v>
      </c>
      <c r="E370" s="374">
        <v>4800</v>
      </c>
    </row>
    <row r="372" spans="1:5" ht="15.75" customHeight="1">
      <c r="A372" s="447" t="s">
        <v>889</v>
      </c>
      <c r="B372" s="449"/>
      <c r="C372" s="449"/>
      <c r="D372" s="449"/>
      <c r="E372" s="449"/>
    </row>
    <row r="373" spans="2:5" s="369" customFormat="1" ht="14.25">
      <c r="B373" s="370" t="s">
        <v>818</v>
      </c>
      <c r="C373" s="375">
        <v>53800</v>
      </c>
      <c r="D373" s="375">
        <v>0</v>
      </c>
      <c r="E373" s="375">
        <v>53800</v>
      </c>
    </row>
    <row r="374" spans="2:5" ht="15">
      <c r="B374" s="366" t="s">
        <v>817</v>
      </c>
      <c r="C374" s="374">
        <v>1800</v>
      </c>
      <c r="D374" s="374">
        <v>0</v>
      </c>
      <c r="E374" s="374">
        <v>1800</v>
      </c>
    </row>
    <row r="375" spans="2:5" ht="15">
      <c r="B375" s="366" t="s">
        <v>816</v>
      </c>
      <c r="C375" s="374">
        <v>28000</v>
      </c>
      <c r="D375" s="374">
        <v>0</v>
      </c>
      <c r="E375" s="374">
        <v>28000</v>
      </c>
    </row>
    <row r="376" spans="2:5" ht="15">
      <c r="B376" s="366" t="s">
        <v>812</v>
      </c>
      <c r="C376" s="374">
        <v>24000</v>
      </c>
      <c r="D376" s="374">
        <v>0</v>
      </c>
      <c r="E376" s="374">
        <v>24000</v>
      </c>
    </row>
    <row r="377" ht="20.25" customHeight="1"/>
    <row r="378" spans="1:5" ht="15.75" customHeight="1">
      <c r="A378" s="451" t="s">
        <v>888</v>
      </c>
      <c r="B378" s="452"/>
      <c r="C378" s="452"/>
      <c r="D378" s="452"/>
      <c r="E378" s="452"/>
    </row>
    <row r="379" spans="1:5" ht="14.25">
      <c r="A379" s="367"/>
      <c r="B379" s="368" t="s">
        <v>818</v>
      </c>
      <c r="C379" s="373">
        <v>4472516</v>
      </c>
      <c r="D379" s="373">
        <v>0</v>
      </c>
      <c r="E379" s="373">
        <v>4472516</v>
      </c>
    </row>
    <row r="380" spans="1:5" ht="14.25">
      <c r="A380" s="367"/>
      <c r="B380" s="368" t="s">
        <v>817</v>
      </c>
      <c r="C380" s="373">
        <v>1824147</v>
      </c>
      <c r="D380" s="373">
        <v>0</v>
      </c>
      <c r="E380" s="373">
        <v>1824147</v>
      </c>
    </row>
    <row r="381" spans="1:5" ht="14.25">
      <c r="A381" s="367"/>
      <c r="B381" s="368" t="s">
        <v>816</v>
      </c>
      <c r="C381" s="373">
        <v>2068044</v>
      </c>
      <c r="D381" s="373">
        <v>0</v>
      </c>
      <c r="E381" s="373">
        <v>2068044</v>
      </c>
    </row>
    <row r="382" spans="1:5" ht="14.25">
      <c r="A382" s="367"/>
      <c r="B382" s="368" t="s">
        <v>815</v>
      </c>
      <c r="C382" s="373">
        <v>517375</v>
      </c>
      <c r="D382" s="373">
        <v>0</v>
      </c>
      <c r="E382" s="373">
        <v>517375</v>
      </c>
    </row>
    <row r="383" spans="1:5" ht="14.25">
      <c r="A383" s="367"/>
      <c r="B383" s="368" t="s">
        <v>813</v>
      </c>
      <c r="C383" s="373">
        <v>56950</v>
      </c>
      <c r="D383" s="373">
        <v>0</v>
      </c>
      <c r="E383" s="373">
        <v>56950</v>
      </c>
    </row>
    <row r="384" spans="1:5" ht="14.25">
      <c r="A384" s="367"/>
      <c r="B384" s="368" t="s">
        <v>812</v>
      </c>
      <c r="C384" s="373">
        <v>6000</v>
      </c>
      <c r="D384" s="373">
        <v>0</v>
      </c>
      <c r="E384" s="373">
        <v>6000</v>
      </c>
    </row>
    <row r="386" spans="1:5" ht="15.75" customHeight="1">
      <c r="A386" s="447" t="s">
        <v>887</v>
      </c>
      <c r="B386" s="449"/>
      <c r="C386" s="449"/>
      <c r="D386" s="449"/>
      <c r="E386" s="449"/>
    </row>
    <row r="387" spans="2:5" s="369" customFormat="1" ht="14.25">
      <c r="B387" s="370" t="s">
        <v>818</v>
      </c>
      <c r="C387" s="375">
        <v>659215</v>
      </c>
      <c r="D387" s="375">
        <v>0</v>
      </c>
      <c r="E387" s="375">
        <v>659215</v>
      </c>
    </row>
    <row r="388" spans="2:5" ht="15">
      <c r="B388" s="366" t="s">
        <v>817</v>
      </c>
      <c r="C388" s="374">
        <v>360565</v>
      </c>
      <c r="D388" s="374">
        <v>0</v>
      </c>
      <c r="E388" s="374">
        <v>360565</v>
      </c>
    </row>
    <row r="389" spans="2:5" ht="15">
      <c r="B389" s="366" t="s">
        <v>816</v>
      </c>
      <c r="C389" s="374">
        <v>293650</v>
      </c>
      <c r="D389" s="374">
        <v>0</v>
      </c>
      <c r="E389" s="374">
        <v>293650</v>
      </c>
    </row>
    <row r="390" spans="2:5" ht="15">
      <c r="B390" s="366" t="s">
        <v>813</v>
      </c>
      <c r="C390" s="374">
        <v>5000</v>
      </c>
      <c r="D390" s="374">
        <v>0</v>
      </c>
      <c r="E390" s="374">
        <v>5000</v>
      </c>
    </row>
    <row r="392" spans="1:5" ht="15.75" customHeight="1">
      <c r="A392" s="447" t="s">
        <v>886</v>
      </c>
      <c r="B392" s="449"/>
      <c r="C392" s="449"/>
      <c r="D392" s="449"/>
      <c r="E392" s="449"/>
    </row>
    <row r="393" spans="2:5" s="369" customFormat="1" ht="14.25">
      <c r="B393" s="370" t="s">
        <v>818</v>
      </c>
      <c r="C393" s="375">
        <v>690970</v>
      </c>
      <c r="D393" s="375">
        <v>0</v>
      </c>
      <c r="E393" s="375">
        <v>690970</v>
      </c>
    </row>
    <row r="394" spans="2:5" ht="15">
      <c r="B394" s="366" t="s">
        <v>816</v>
      </c>
      <c r="C394" s="374">
        <v>167595</v>
      </c>
      <c r="D394" s="374">
        <v>0</v>
      </c>
      <c r="E394" s="374">
        <v>167595</v>
      </c>
    </row>
    <row r="395" spans="2:5" ht="15">
      <c r="B395" s="366" t="s">
        <v>815</v>
      </c>
      <c r="C395" s="374">
        <v>517375</v>
      </c>
      <c r="D395" s="374">
        <v>0</v>
      </c>
      <c r="E395" s="374">
        <v>517375</v>
      </c>
    </row>
    <row r="396" spans="2:5" ht="15">
      <c r="B396" s="366" t="s">
        <v>812</v>
      </c>
      <c r="C396" s="374">
        <v>6000</v>
      </c>
      <c r="D396" s="374">
        <v>0</v>
      </c>
      <c r="E396" s="374">
        <v>6000</v>
      </c>
    </row>
    <row r="398" spans="1:5" ht="15.75" customHeight="1">
      <c r="A398" s="447" t="s">
        <v>885</v>
      </c>
      <c r="B398" s="449"/>
      <c r="C398" s="449"/>
      <c r="D398" s="449"/>
      <c r="E398" s="449"/>
    </row>
    <row r="399" spans="2:5" s="369" customFormat="1" ht="14.25">
      <c r="B399" s="370" t="s">
        <v>818</v>
      </c>
      <c r="C399" s="375">
        <v>3122331</v>
      </c>
      <c r="D399" s="375">
        <v>0</v>
      </c>
      <c r="E399" s="375">
        <v>3122331</v>
      </c>
    </row>
    <row r="400" spans="2:5" ht="15">
      <c r="B400" s="366" t="s">
        <v>817</v>
      </c>
      <c r="C400" s="374">
        <v>1463582</v>
      </c>
      <c r="D400" s="374">
        <v>0</v>
      </c>
      <c r="E400" s="374">
        <v>1463582</v>
      </c>
    </row>
    <row r="401" spans="2:5" ht="15">
      <c r="B401" s="366" t="s">
        <v>816</v>
      </c>
      <c r="C401" s="374">
        <v>1606799</v>
      </c>
      <c r="D401" s="374">
        <v>0</v>
      </c>
      <c r="E401" s="374">
        <v>1606799</v>
      </c>
    </row>
    <row r="402" spans="2:5" ht="15">
      <c r="B402" s="366" t="s">
        <v>813</v>
      </c>
      <c r="C402" s="374">
        <v>51950</v>
      </c>
      <c r="D402" s="374">
        <v>0</v>
      </c>
      <c r="E402" s="374">
        <v>51950</v>
      </c>
    </row>
    <row r="404" spans="1:5" ht="15.75" customHeight="1" hidden="1">
      <c r="A404" s="447" t="s">
        <v>884</v>
      </c>
      <c r="B404" s="449"/>
      <c r="C404" s="449"/>
      <c r="D404" s="449"/>
      <c r="E404" s="449"/>
    </row>
    <row r="405" spans="2:5" s="369" customFormat="1" ht="15" customHeight="1" hidden="1">
      <c r="B405" s="370" t="s">
        <v>818</v>
      </c>
      <c r="C405" s="375">
        <v>1299194</v>
      </c>
      <c r="D405" s="375">
        <v>0</v>
      </c>
      <c r="E405" s="375">
        <v>1299194</v>
      </c>
    </row>
    <row r="406" spans="2:5" ht="15" customHeight="1" hidden="1">
      <c r="B406" s="366" t="s">
        <v>817</v>
      </c>
      <c r="C406" s="374">
        <v>770965</v>
      </c>
      <c r="D406" s="374">
        <v>0</v>
      </c>
      <c r="E406" s="374">
        <v>770965</v>
      </c>
    </row>
    <row r="407" spans="2:5" ht="15" customHeight="1" hidden="1">
      <c r="B407" s="366" t="s">
        <v>816</v>
      </c>
      <c r="C407" s="374">
        <v>476279</v>
      </c>
      <c r="D407" s="374">
        <v>0</v>
      </c>
      <c r="E407" s="374">
        <v>476279</v>
      </c>
    </row>
    <row r="408" spans="2:5" ht="15" customHeight="1" hidden="1">
      <c r="B408" s="366" t="s">
        <v>813</v>
      </c>
      <c r="C408" s="374">
        <v>51950</v>
      </c>
      <c r="D408" s="374">
        <v>0</v>
      </c>
      <c r="E408" s="374">
        <v>51950</v>
      </c>
    </row>
    <row r="409" ht="12.75" hidden="1"/>
    <row r="410" spans="1:5" ht="15.75" customHeight="1" hidden="1">
      <c r="A410" s="447" t="s">
        <v>883</v>
      </c>
      <c r="B410" s="449"/>
      <c r="C410" s="449"/>
      <c r="D410" s="449"/>
      <c r="E410" s="449"/>
    </row>
    <row r="411" spans="2:5" s="369" customFormat="1" ht="15" customHeight="1" hidden="1">
      <c r="B411" s="370" t="s">
        <v>818</v>
      </c>
      <c r="C411" s="375">
        <v>670713</v>
      </c>
      <c r="D411" s="375">
        <v>0</v>
      </c>
      <c r="E411" s="375">
        <v>670713</v>
      </c>
    </row>
    <row r="412" spans="2:5" ht="15" customHeight="1" hidden="1">
      <c r="B412" s="366" t="s">
        <v>817</v>
      </c>
      <c r="C412" s="374">
        <v>221363</v>
      </c>
      <c r="D412" s="374">
        <v>0</v>
      </c>
      <c r="E412" s="374">
        <v>221363</v>
      </c>
    </row>
    <row r="413" spans="2:5" ht="15" customHeight="1" hidden="1">
      <c r="B413" s="366" t="s">
        <v>816</v>
      </c>
      <c r="C413" s="374">
        <v>449350</v>
      </c>
      <c r="D413" s="374">
        <v>0</v>
      </c>
      <c r="E413" s="374">
        <v>449350</v>
      </c>
    </row>
    <row r="414" ht="12.75" hidden="1"/>
    <row r="415" spans="1:5" ht="15.75" customHeight="1" hidden="1">
      <c r="A415" s="447" t="s">
        <v>882</v>
      </c>
      <c r="B415" s="449"/>
      <c r="C415" s="449"/>
      <c r="D415" s="449"/>
      <c r="E415" s="449"/>
    </row>
    <row r="416" spans="2:5" s="369" customFormat="1" ht="15" customHeight="1" hidden="1">
      <c r="B416" s="370" t="s">
        <v>818</v>
      </c>
      <c r="C416" s="375">
        <v>1152424</v>
      </c>
      <c r="D416" s="375">
        <v>0</v>
      </c>
      <c r="E416" s="375">
        <v>1152424</v>
      </c>
    </row>
    <row r="417" spans="2:5" ht="15" customHeight="1" hidden="1">
      <c r="B417" s="366" t="s">
        <v>817</v>
      </c>
      <c r="C417" s="374">
        <v>471254</v>
      </c>
      <c r="D417" s="374">
        <v>0</v>
      </c>
      <c r="E417" s="374">
        <v>471254</v>
      </c>
    </row>
    <row r="418" spans="2:5" ht="15" customHeight="1" hidden="1">
      <c r="B418" s="366" t="s">
        <v>816</v>
      </c>
      <c r="C418" s="374">
        <v>681170</v>
      </c>
      <c r="D418" s="374">
        <v>0</v>
      </c>
      <c r="E418" s="374">
        <v>681170</v>
      </c>
    </row>
    <row r="420" spans="1:5" ht="31.5" customHeight="1">
      <c r="A420" s="451" t="s">
        <v>881</v>
      </c>
      <c r="B420" s="452"/>
      <c r="C420" s="452"/>
      <c r="D420" s="452"/>
      <c r="E420" s="452"/>
    </row>
    <row r="421" spans="1:5" s="369" customFormat="1" ht="14.25">
      <c r="A421" s="367"/>
      <c r="B421" s="368" t="s">
        <v>818</v>
      </c>
      <c r="C421" s="373">
        <v>918172</v>
      </c>
      <c r="D421" s="373">
        <v>0</v>
      </c>
      <c r="E421" s="373">
        <v>918172</v>
      </c>
    </row>
    <row r="422" spans="1:5" ht="14.25">
      <c r="A422" s="367"/>
      <c r="B422" s="368" t="s">
        <v>817</v>
      </c>
      <c r="C422" s="373">
        <v>722644</v>
      </c>
      <c r="D422" s="373">
        <v>0</v>
      </c>
      <c r="E422" s="373">
        <v>722644</v>
      </c>
    </row>
    <row r="423" spans="1:5" ht="14.25">
      <c r="A423" s="367"/>
      <c r="B423" s="368" t="s">
        <v>816</v>
      </c>
      <c r="C423" s="373">
        <v>145028</v>
      </c>
      <c r="D423" s="373">
        <v>0</v>
      </c>
      <c r="E423" s="373">
        <v>145028</v>
      </c>
    </row>
    <row r="424" spans="1:5" ht="14.25">
      <c r="A424" s="367"/>
      <c r="B424" s="368" t="s">
        <v>813</v>
      </c>
      <c r="C424" s="373">
        <v>50500</v>
      </c>
      <c r="D424" s="373">
        <v>0</v>
      </c>
      <c r="E424" s="373">
        <v>50500</v>
      </c>
    </row>
    <row r="426" spans="1:5" ht="15.75" customHeight="1">
      <c r="A426" s="447" t="s">
        <v>880</v>
      </c>
      <c r="B426" s="449"/>
      <c r="C426" s="449"/>
      <c r="D426" s="449"/>
      <c r="E426" s="449"/>
    </row>
    <row r="427" spans="2:5" s="369" customFormat="1" ht="14.25">
      <c r="B427" s="370" t="s">
        <v>818</v>
      </c>
      <c r="C427" s="375">
        <v>918172</v>
      </c>
      <c r="D427" s="375">
        <v>0</v>
      </c>
      <c r="E427" s="375">
        <v>918172</v>
      </c>
    </row>
    <row r="428" spans="2:5" ht="15">
      <c r="B428" s="366" t="s">
        <v>817</v>
      </c>
      <c r="C428" s="374">
        <v>722644</v>
      </c>
      <c r="D428" s="374">
        <v>0</v>
      </c>
      <c r="E428" s="374">
        <v>722644</v>
      </c>
    </row>
    <row r="429" spans="2:5" ht="15">
      <c r="B429" s="366" t="s">
        <v>816</v>
      </c>
      <c r="C429" s="374">
        <v>145028</v>
      </c>
      <c r="D429" s="374">
        <v>0</v>
      </c>
      <c r="E429" s="374">
        <v>145028</v>
      </c>
    </row>
    <row r="430" spans="2:5" ht="15">
      <c r="B430" s="366" t="s">
        <v>813</v>
      </c>
      <c r="C430" s="374">
        <v>50500</v>
      </c>
      <c r="D430" s="374">
        <v>0</v>
      </c>
      <c r="E430" s="374">
        <v>50500</v>
      </c>
    </row>
    <row r="431" ht="21.75" customHeight="1"/>
    <row r="432" spans="1:5" ht="31.5" customHeight="1">
      <c r="A432" s="451" t="s">
        <v>879</v>
      </c>
      <c r="B432" s="452"/>
      <c r="C432" s="452"/>
      <c r="D432" s="452"/>
      <c r="E432" s="452"/>
    </row>
    <row r="433" spans="1:5" s="369" customFormat="1" ht="14.25">
      <c r="A433" s="367"/>
      <c r="B433" s="368" t="s">
        <v>818</v>
      </c>
      <c r="C433" s="373">
        <v>819556</v>
      </c>
      <c r="D433" s="373">
        <v>0</v>
      </c>
      <c r="E433" s="373">
        <v>819556</v>
      </c>
    </row>
    <row r="434" spans="1:5" ht="14.25">
      <c r="A434" s="367"/>
      <c r="B434" s="368" t="s">
        <v>817</v>
      </c>
      <c r="C434" s="373">
        <v>665701</v>
      </c>
      <c r="D434" s="373">
        <v>0</v>
      </c>
      <c r="E434" s="373">
        <v>665701</v>
      </c>
    </row>
    <row r="435" spans="1:5" ht="14.25">
      <c r="A435" s="367"/>
      <c r="B435" s="368" t="s">
        <v>816</v>
      </c>
      <c r="C435" s="373">
        <v>126755</v>
      </c>
      <c r="D435" s="373">
        <v>0</v>
      </c>
      <c r="E435" s="373">
        <v>126755</v>
      </c>
    </row>
    <row r="436" spans="1:5" ht="14.25">
      <c r="A436" s="367"/>
      <c r="B436" s="368" t="s">
        <v>813</v>
      </c>
      <c r="C436" s="373">
        <v>22100</v>
      </c>
      <c r="D436" s="373">
        <v>0</v>
      </c>
      <c r="E436" s="373">
        <v>22100</v>
      </c>
    </row>
    <row r="437" spans="1:5" ht="14.25">
      <c r="A437" s="367"/>
      <c r="B437" s="368" t="s">
        <v>812</v>
      </c>
      <c r="C437" s="373">
        <v>5000</v>
      </c>
      <c r="D437" s="373">
        <v>0</v>
      </c>
      <c r="E437" s="373">
        <v>5000</v>
      </c>
    </row>
    <row r="439" spans="1:5" ht="15.75" customHeight="1">
      <c r="A439" s="447" t="s">
        <v>878</v>
      </c>
      <c r="B439" s="449"/>
      <c r="C439" s="449"/>
      <c r="D439" s="449"/>
      <c r="E439" s="449"/>
    </row>
    <row r="440" spans="2:5" s="369" customFormat="1" ht="14.25">
      <c r="B440" s="370" t="s">
        <v>818</v>
      </c>
      <c r="C440" s="375">
        <v>819556</v>
      </c>
      <c r="D440" s="375">
        <v>0</v>
      </c>
      <c r="E440" s="375">
        <v>819556</v>
      </c>
    </row>
    <row r="441" spans="2:5" ht="15">
      <c r="B441" s="366" t="s">
        <v>817</v>
      </c>
      <c r="C441" s="374">
        <v>665701</v>
      </c>
      <c r="D441" s="374">
        <v>0</v>
      </c>
      <c r="E441" s="374">
        <v>665701</v>
      </c>
    </row>
    <row r="442" spans="2:5" ht="15">
      <c r="B442" s="366" t="s">
        <v>816</v>
      </c>
      <c r="C442" s="374">
        <v>126755</v>
      </c>
      <c r="D442" s="374">
        <v>0</v>
      </c>
      <c r="E442" s="374">
        <v>126755</v>
      </c>
    </row>
    <row r="443" spans="2:5" ht="15">
      <c r="B443" s="366" t="s">
        <v>813</v>
      </c>
      <c r="C443" s="374">
        <v>22100</v>
      </c>
      <c r="D443" s="374">
        <v>0</v>
      </c>
      <c r="E443" s="374">
        <v>22100</v>
      </c>
    </row>
    <row r="444" spans="2:5" ht="15">
      <c r="B444" s="366" t="s">
        <v>812</v>
      </c>
      <c r="C444" s="374">
        <v>5000</v>
      </c>
      <c r="D444" s="374">
        <v>0</v>
      </c>
      <c r="E444" s="374">
        <v>5000</v>
      </c>
    </row>
    <row r="445" ht="24.75" customHeight="1"/>
    <row r="446" spans="1:5" ht="15.75" customHeight="1">
      <c r="A446" s="445" t="s">
        <v>877</v>
      </c>
      <c r="B446" s="452"/>
      <c r="C446" s="452"/>
      <c r="D446" s="452"/>
      <c r="E446" s="452"/>
    </row>
    <row r="447" spans="1:5" ht="14.25">
      <c r="A447" s="392"/>
      <c r="B447" s="393" t="s">
        <v>818</v>
      </c>
      <c r="C447" s="389">
        <f>3403999-16706</f>
        <v>3387293</v>
      </c>
      <c r="D447" s="389">
        <v>0</v>
      </c>
      <c r="E447" s="389">
        <f>3403999-16706</f>
        <v>3387293</v>
      </c>
    </row>
    <row r="448" spans="1:5" ht="14.25">
      <c r="A448" s="392"/>
      <c r="B448" s="393" t="s">
        <v>817</v>
      </c>
      <c r="C448" s="389">
        <v>1767067</v>
      </c>
      <c r="D448" s="389">
        <v>0</v>
      </c>
      <c r="E448" s="389">
        <v>1767067</v>
      </c>
    </row>
    <row r="449" spans="1:5" ht="14.25">
      <c r="A449" s="392"/>
      <c r="B449" s="393" t="s">
        <v>816</v>
      </c>
      <c r="C449" s="389">
        <f>1540423-16706</f>
        <v>1523717</v>
      </c>
      <c r="D449" s="389">
        <v>0</v>
      </c>
      <c r="E449" s="389">
        <f>1540423-16706</f>
        <v>1523717</v>
      </c>
    </row>
    <row r="450" spans="1:5" ht="14.25">
      <c r="A450" s="392"/>
      <c r="B450" s="393" t="s">
        <v>815</v>
      </c>
      <c r="C450" s="389">
        <v>13200</v>
      </c>
      <c r="D450" s="389">
        <v>0</v>
      </c>
      <c r="E450" s="389">
        <v>13200</v>
      </c>
    </row>
    <row r="451" spans="1:5" ht="14.25">
      <c r="A451" s="392"/>
      <c r="B451" s="393" t="s">
        <v>813</v>
      </c>
      <c r="C451" s="389">
        <v>26985</v>
      </c>
      <c r="D451" s="389">
        <v>0</v>
      </c>
      <c r="E451" s="389">
        <v>26985</v>
      </c>
    </row>
    <row r="452" spans="1:5" ht="14.25">
      <c r="A452" s="392"/>
      <c r="B452" s="393" t="s">
        <v>812</v>
      </c>
      <c r="C452" s="389">
        <v>45110</v>
      </c>
      <c r="D452" s="389">
        <v>0</v>
      </c>
      <c r="E452" s="389">
        <v>45110</v>
      </c>
    </row>
    <row r="453" spans="1:5" ht="33.75" customHeight="1">
      <c r="A453" s="392"/>
      <c r="B453" s="393" t="s">
        <v>811</v>
      </c>
      <c r="C453" s="389">
        <v>11214</v>
      </c>
      <c r="D453" s="389">
        <v>0</v>
      </c>
      <c r="E453" s="389">
        <v>11214</v>
      </c>
    </row>
    <row r="455" spans="1:5" ht="15.75" customHeight="1">
      <c r="A455" s="447" t="s">
        <v>876</v>
      </c>
      <c r="B455" s="449"/>
      <c r="C455" s="449"/>
      <c r="D455" s="449"/>
      <c r="E455" s="449"/>
    </row>
    <row r="456" spans="2:5" s="369" customFormat="1" ht="14.25">
      <c r="B456" s="370" t="s">
        <v>818</v>
      </c>
      <c r="C456" s="375">
        <v>1556339</v>
      </c>
      <c r="D456" s="375">
        <v>0</v>
      </c>
      <c r="E456" s="375">
        <v>1556339</v>
      </c>
    </row>
    <row r="457" spans="2:5" ht="15">
      <c r="B457" s="366" t="s">
        <v>817</v>
      </c>
      <c r="C457" s="374">
        <v>1056101</v>
      </c>
      <c r="D457" s="374">
        <v>0</v>
      </c>
      <c r="E457" s="374">
        <v>1056101</v>
      </c>
    </row>
    <row r="458" spans="2:5" ht="15">
      <c r="B458" s="366" t="s">
        <v>816</v>
      </c>
      <c r="C458" s="374">
        <v>495668</v>
      </c>
      <c r="D458" s="374">
        <v>0</v>
      </c>
      <c r="E458" s="374">
        <v>495668</v>
      </c>
    </row>
    <row r="459" spans="2:5" ht="15">
      <c r="B459" s="366" t="s">
        <v>813</v>
      </c>
      <c r="C459" s="374">
        <v>4570</v>
      </c>
      <c r="D459" s="374">
        <v>0</v>
      </c>
      <c r="E459" s="374">
        <v>4570</v>
      </c>
    </row>
    <row r="461" spans="1:5" ht="15.75" customHeight="1">
      <c r="A461" s="453" t="s">
        <v>875</v>
      </c>
      <c r="B461" s="449"/>
      <c r="C461" s="449"/>
      <c r="D461" s="449"/>
      <c r="E461" s="449"/>
    </row>
    <row r="462" spans="1:5" s="369" customFormat="1" ht="14.25">
      <c r="A462" s="394"/>
      <c r="B462" s="395" t="s">
        <v>818</v>
      </c>
      <c r="C462" s="390">
        <f>1167101-16706</f>
        <v>1150395</v>
      </c>
      <c r="D462" s="390">
        <v>0</v>
      </c>
      <c r="E462" s="390">
        <f>1167101-16706</f>
        <v>1150395</v>
      </c>
    </row>
    <row r="463" spans="1:5" ht="15">
      <c r="A463" s="396"/>
      <c r="B463" s="397" t="s">
        <v>817</v>
      </c>
      <c r="C463" s="391">
        <v>120611</v>
      </c>
      <c r="D463" s="391">
        <v>0</v>
      </c>
      <c r="E463" s="391">
        <v>120611</v>
      </c>
    </row>
    <row r="464" spans="1:5" ht="15">
      <c r="A464" s="396"/>
      <c r="B464" s="397" t="s">
        <v>816</v>
      </c>
      <c r="C464" s="391">
        <f>985515-16706</f>
        <v>968809</v>
      </c>
      <c r="D464" s="391">
        <v>0</v>
      </c>
      <c r="E464" s="391">
        <f>985515-16706</f>
        <v>968809</v>
      </c>
    </row>
    <row r="465" spans="1:5" ht="15">
      <c r="A465" s="396"/>
      <c r="B465" s="397" t="s">
        <v>813</v>
      </c>
      <c r="C465" s="391">
        <v>15865</v>
      </c>
      <c r="D465" s="391">
        <v>0</v>
      </c>
      <c r="E465" s="391">
        <v>15865</v>
      </c>
    </row>
    <row r="466" spans="1:5" ht="15">
      <c r="A466" s="396"/>
      <c r="B466" s="397" t="s">
        <v>812</v>
      </c>
      <c r="C466" s="391">
        <v>45110</v>
      </c>
      <c r="D466" s="391">
        <v>0</v>
      </c>
      <c r="E466" s="391">
        <v>45110</v>
      </c>
    </row>
    <row r="467" spans="1:5" ht="12.75">
      <c r="A467" s="396"/>
      <c r="B467" s="396"/>
      <c r="C467" s="398"/>
      <c r="D467" s="398"/>
      <c r="E467" s="398"/>
    </row>
    <row r="468" spans="1:5" ht="15.75" customHeight="1">
      <c r="A468" s="447" t="s">
        <v>874</v>
      </c>
      <c r="B468" s="449"/>
      <c r="C468" s="449"/>
      <c r="D468" s="449"/>
      <c r="E468" s="449"/>
    </row>
    <row r="469" spans="2:5" s="369" customFormat="1" ht="14.25">
      <c r="B469" s="370" t="s">
        <v>818</v>
      </c>
      <c r="C469" s="375">
        <v>99888</v>
      </c>
      <c r="D469" s="375">
        <v>0</v>
      </c>
      <c r="E469" s="375">
        <v>99888</v>
      </c>
    </row>
    <row r="470" spans="2:5" ht="15">
      <c r="B470" s="366" t="s">
        <v>817</v>
      </c>
      <c r="C470" s="374">
        <v>95168</v>
      </c>
      <c r="D470" s="374">
        <v>0</v>
      </c>
      <c r="E470" s="374">
        <v>95168</v>
      </c>
    </row>
    <row r="471" spans="2:5" ht="15">
      <c r="B471" s="366" t="s">
        <v>816</v>
      </c>
      <c r="C471" s="374">
        <v>4720</v>
      </c>
      <c r="D471" s="374">
        <v>0</v>
      </c>
      <c r="E471" s="374">
        <v>4720</v>
      </c>
    </row>
    <row r="473" spans="1:5" ht="15.75" customHeight="1">
      <c r="A473" s="447" t="s">
        <v>873</v>
      </c>
      <c r="B473" s="449"/>
      <c r="C473" s="449"/>
      <c r="D473" s="449"/>
      <c r="E473" s="449"/>
    </row>
    <row r="474" spans="2:5" s="369" customFormat="1" ht="14.25">
      <c r="B474" s="370" t="s">
        <v>818</v>
      </c>
      <c r="C474" s="375">
        <v>24314</v>
      </c>
      <c r="D474" s="375">
        <v>0</v>
      </c>
      <c r="E474" s="375">
        <v>24314</v>
      </c>
    </row>
    <row r="475" spans="2:5" ht="15">
      <c r="B475" s="366" t="s">
        <v>817</v>
      </c>
      <c r="C475" s="374">
        <v>21314</v>
      </c>
      <c r="D475" s="374">
        <v>0</v>
      </c>
      <c r="E475" s="374">
        <v>21314</v>
      </c>
    </row>
    <row r="476" spans="2:5" ht="15">
      <c r="B476" s="366" t="s">
        <v>816</v>
      </c>
      <c r="C476" s="374">
        <v>3000</v>
      </c>
      <c r="D476" s="374">
        <v>0</v>
      </c>
      <c r="E476" s="374">
        <v>3000</v>
      </c>
    </row>
    <row r="478" spans="1:5" ht="15.75" customHeight="1">
      <c r="A478" s="447" t="s">
        <v>872</v>
      </c>
      <c r="B478" s="449"/>
      <c r="C478" s="449"/>
      <c r="D478" s="449"/>
      <c r="E478" s="449"/>
    </row>
    <row r="479" spans="2:5" s="369" customFormat="1" ht="14.25">
      <c r="B479" s="370" t="s">
        <v>818</v>
      </c>
      <c r="C479" s="375">
        <v>514648</v>
      </c>
      <c r="D479" s="375">
        <v>0</v>
      </c>
      <c r="E479" s="375">
        <v>514648</v>
      </c>
    </row>
    <row r="480" spans="2:5" ht="15">
      <c r="B480" s="366" t="s">
        <v>817</v>
      </c>
      <c r="C480" s="374">
        <v>465224</v>
      </c>
      <c r="D480" s="374">
        <v>0</v>
      </c>
      <c r="E480" s="374">
        <v>465224</v>
      </c>
    </row>
    <row r="481" spans="2:5" ht="15">
      <c r="B481" s="366" t="s">
        <v>816</v>
      </c>
      <c r="C481" s="374">
        <v>36860</v>
      </c>
      <c r="D481" s="374">
        <v>0</v>
      </c>
      <c r="E481" s="374">
        <v>36860</v>
      </c>
    </row>
    <row r="482" spans="2:5" ht="15">
      <c r="B482" s="366" t="s">
        <v>813</v>
      </c>
      <c r="C482" s="374">
        <v>3550</v>
      </c>
      <c r="D482" s="374">
        <v>0</v>
      </c>
      <c r="E482" s="374">
        <v>3550</v>
      </c>
    </row>
    <row r="483" spans="2:5" ht="30">
      <c r="B483" s="366" t="s">
        <v>811</v>
      </c>
      <c r="C483" s="374">
        <v>9014</v>
      </c>
      <c r="D483" s="374">
        <v>0</v>
      </c>
      <c r="E483" s="374">
        <v>9014</v>
      </c>
    </row>
    <row r="485" spans="1:5" ht="15.75" customHeight="1">
      <c r="A485" s="447" t="s">
        <v>871</v>
      </c>
      <c r="B485" s="449"/>
      <c r="C485" s="449"/>
      <c r="D485" s="449"/>
      <c r="E485" s="449"/>
    </row>
    <row r="486" spans="2:5" s="369" customFormat="1" ht="14.25">
      <c r="B486" s="370" t="s">
        <v>818</v>
      </c>
      <c r="C486" s="375">
        <v>41709</v>
      </c>
      <c r="D486" s="375">
        <v>0</v>
      </c>
      <c r="E486" s="375">
        <v>41709</v>
      </c>
    </row>
    <row r="487" spans="2:5" ht="15">
      <c r="B487" s="366" t="s">
        <v>817</v>
      </c>
      <c r="C487" s="374">
        <v>8649</v>
      </c>
      <c r="D487" s="374">
        <v>0</v>
      </c>
      <c r="E487" s="374">
        <v>8649</v>
      </c>
    </row>
    <row r="488" spans="2:5" ht="15">
      <c r="B488" s="366" t="s">
        <v>816</v>
      </c>
      <c r="C488" s="374">
        <v>14660</v>
      </c>
      <c r="D488" s="374">
        <v>0</v>
      </c>
      <c r="E488" s="374">
        <v>14660</v>
      </c>
    </row>
    <row r="489" spans="2:5" ht="15">
      <c r="B489" s="366" t="s">
        <v>815</v>
      </c>
      <c r="C489" s="374">
        <v>13200</v>
      </c>
      <c r="D489" s="374">
        <v>0</v>
      </c>
      <c r="E489" s="374">
        <v>13200</v>
      </c>
    </row>
    <row r="490" spans="2:5" ht="15">
      <c r="B490" s="366" t="s">
        <v>813</v>
      </c>
      <c r="C490" s="374">
        <v>3000</v>
      </c>
      <c r="D490" s="374">
        <v>0</v>
      </c>
      <c r="E490" s="374">
        <v>3000</v>
      </c>
    </row>
    <row r="491" spans="2:5" ht="30">
      <c r="B491" s="366" t="s">
        <v>811</v>
      </c>
      <c r="C491" s="374">
        <v>2200</v>
      </c>
      <c r="D491" s="374">
        <v>0</v>
      </c>
      <c r="E491" s="374">
        <v>2200</v>
      </c>
    </row>
    <row r="492" ht="21" customHeight="1"/>
    <row r="493" spans="1:5" ht="15.75" customHeight="1">
      <c r="A493" s="451" t="s">
        <v>870</v>
      </c>
      <c r="B493" s="452"/>
      <c r="C493" s="452"/>
      <c r="D493" s="452"/>
      <c r="E493" s="452"/>
    </row>
    <row r="494" spans="1:5" ht="14.25">
      <c r="A494" s="367"/>
      <c r="B494" s="368" t="s">
        <v>818</v>
      </c>
      <c r="C494" s="373">
        <v>521502</v>
      </c>
      <c r="D494" s="373">
        <v>55450</v>
      </c>
      <c r="E494" s="373">
        <v>576952</v>
      </c>
    </row>
    <row r="495" spans="1:5" ht="14.25">
      <c r="A495" s="367"/>
      <c r="B495" s="368" t="s">
        <v>817</v>
      </c>
      <c r="C495" s="373">
        <v>365564</v>
      </c>
      <c r="D495" s="373">
        <v>20368</v>
      </c>
      <c r="E495" s="373">
        <v>385932</v>
      </c>
    </row>
    <row r="496" spans="1:5" ht="14.25">
      <c r="A496" s="367"/>
      <c r="B496" s="368" t="s">
        <v>816</v>
      </c>
      <c r="C496" s="373">
        <v>124538</v>
      </c>
      <c r="D496" s="373">
        <v>35082</v>
      </c>
      <c r="E496" s="373">
        <v>159620</v>
      </c>
    </row>
    <row r="497" spans="1:5" ht="14.25">
      <c r="A497" s="367"/>
      <c r="B497" s="368" t="s">
        <v>813</v>
      </c>
      <c r="C497" s="373">
        <v>31400</v>
      </c>
      <c r="D497" s="373">
        <v>0</v>
      </c>
      <c r="E497" s="373">
        <v>31400</v>
      </c>
    </row>
    <row r="499" spans="1:5" ht="15.75" customHeight="1">
      <c r="A499" s="447" t="s">
        <v>869</v>
      </c>
      <c r="B499" s="449"/>
      <c r="C499" s="449"/>
      <c r="D499" s="449"/>
      <c r="E499" s="449"/>
    </row>
    <row r="500" spans="2:5" s="369" customFormat="1" ht="14.25">
      <c r="B500" s="370" t="s">
        <v>818</v>
      </c>
      <c r="C500" s="375">
        <v>521502</v>
      </c>
      <c r="D500" s="375">
        <v>55450</v>
      </c>
      <c r="E500" s="375">
        <v>576952</v>
      </c>
    </row>
    <row r="501" spans="2:5" ht="15">
      <c r="B501" s="366" t="s">
        <v>817</v>
      </c>
      <c r="C501" s="374">
        <v>365564</v>
      </c>
      <c r="D501" s="374">
        <v>20368</v>
      </c>
      <c r="E501" s="374">
        <v>385932</v>
      </c>
    </row>
    <row r="502" spans="2:5" ht="15">
      <c r="B502" s="366" t="s">
        <v>816</v>
      </c>
      <c r="C502" s="374">
        <v>124538</v>
      </c>
      <c r="D502" s="374">
        <v>35082</v>
      </c>
      <c r="E502" s="374">
        <v>159620</v>
      </c>
    </row>
    <row r="503" spans="2:5" ht="15">
      <c r="B503" s="366" t="s">
        <v>813</v>
      </c>
      <c r="C503" s="374">
        <v>31400</v>
      </c>
      <c r="D503" s="374">
        <v>0</v>
      </c>
      <c r="E503" s="374">
        <v>31400</v>
      </c>
    </row>
    <row r="505" spans="1:5" ht="31.5" customHeight="1">
      <c r="A505" s="451" t="s">
        <v>868</v>
      </c>
      <c r="B505" s="452"/>
      <c r="C505" s="452"/>
      <c r="D505" s="452"/>
      <c r="E505" s="452"/>
    </row>
    <row r="506" spans="1:5" ht="14.25">
      <c r="A506" s="367"/>
      <c r="B506" s="368" t="s">
        <v>818</v>
      </c>
      <c r="C506" s="373">
        <v>1641297</v>
      </c>
      <c r="D506" s="373">
        <v>0</v>
      </c>
      <c r="E506" s="373">
        <v>1641297</v>
      </c>
    </row>
    <row r="507" spans="1:5" ht="14.25">
      <c r="A507" s="367"/>
      <c r="B507" s="368" t="s">
        <v>817</v>
      </c>
      <c r="C507" s="373">
        <v>892664</v>
      </c>
      <c r="D507" s="373">
        <v>0</v>
      </c>
      <c r="E507" s="373">
        <v>892664</v>
      </c>
    </row>
    <row r="508" spans="1:5" ht="14.25">
      <c r="A508" s="367"/>
      <c r="B508" s="368" t="s">
        <v>816</v>
      </c>
      <c r="C508" s="373">
        <v>596603</v>
      </c>
      <c r="D508" s="373">
        <v>0</v>
      </c>
      <c r="E508" s="373">
        <v>596603</v>
      </c>
    </row>
    <row r="509" spans="1:5" ht="14.25">
      <c r="A509" s="367"/>
      <c r="B509" s="368" t="s">
        <v>815</v>
      </c>
      <c r="C509" s="373">
        <v>57040</v>
      </c>
      <c r="D509" s="373">
        <v>0</v>
      </c>
      <c r="E509" s="373">
        <v>57040</v>
      </c>
    </row>
    <row r="510" spans="1:5" ht="14.25">
      <c r="A510" s="367"/>
      <c r="B510" s="368" t="s">
        <v>813</v>
      </c>
      <c r="C510" s="373">
        <v>48357</v>
      </c>
      <c r="D510" s="373">
        <v>0</v>
      </c>
      <c r="E510" s="373">
        <v>48357</v>
      </c>
    </row>
    <row r="511" spans="1:5" ht="14.25">
      <c r="A511" s="367"/>
      <c r="B511" s="368" t="s">
        <v>812</v>
      </c>
      <c r="C511" s="373">
        <v>9450</v>
      </c>
      <c r="D511" s="373">
        <v>0</v>
      </c>
      <c r="E511" s="373">
        <v>9450</v>
      </c>
    </row>
    <row r="512" spans="1:5" ht="27.75" customHeight="1">
      <c r="A512" s="367"/>
      <c r="B512" s="368" t="s">
        <v>811</v>
      </c>
      <c r="C512" s="373">
        <v>37183</v>
      </c>
      <c r="D512" s="373">
        <v>0</v>
      </c>
      <c r="E512" s="373">
        <v>37183</v>
      </c>
    </row>
    <row r="514" spans="1:5" ht="15.75" customHeight="1">
      <c r="A514" s="447" t="s">
        <v>867</v>
      </c>
      <c r="B514" s="449"/>
      <c r="C514" s="449"/>
      <c r="D514" s="449"/>
      <c r="E514" s="449"/>
    </row>
    <row r="515" spans="2:5" s="369" customFormat="1" ht="14.25">
      <c r="B515" s="370" t="s">
        <v>818</v>
      </c>
      <c r="C515" s="375">
        <v>1312997</v>
      </c>
      <c r="D515" s="375">
        <v>0</v>
      </c>
      <c r="E515" s="375">
        <v>1312997</v>
      </c>
    </row>
    <row r="516" spans="2:5" ht="15">
      <c r="B516" s="366" t="s">
        <v>817</v>
      </c>
      <c r="C516" s="374">
        <v>803784</v>
      </c>
      <c r="D516" s="374">
        <v>0</v>
      </c>
      <c r="E516" s="374">
        <v>803784</v>
      </c>
    </row>
    <row r="517" spans="2:5" ht="15">
      <c r="B517" s="366" t="s">
        <v>816</v>
      </c>
      <c r="C517" s="374">
        <v>420896</v>
      </c>
      <c r="D517" s="374">
        <v>0</v>
      </c>
      <c r="E517" s="374">
        <v>420896</v>
      </c>
    </row>
    <row r="518" spans="2:5" ht="15">
      <c r="B518" s="366" t="s">
        <v>815</v>
      </c>
      <c r="C518" s="374">
        <v>57040</v>
      </c>
      <c r="D518" s="374">
        <v>0</v>
      </c>
      <c r="E518" s="374">
        <v>57040</v>
      </c>
    </row>
    <row r="519" spans="2:5" ht="15">
      <c r="B519" s="366" t="s">
        <v>813</v>
      </c>
      <c r="C519" s="374">
        <v>21827</v>
      </c>
      <c r="D519" s="374">
        <v>0</v>
      </c>
      <c r="E519" s="374">
        <v>21827</v>
      </c>
    </row>
    <row r="520" spans="2:5" ht="15">
      <c r="B520" s="366" t="s">
        <v>812</v>
      </c>
      <c r="C520" s="374">
        <v>9450</v>
      </c>
      <c r="D520" s="374">
        <v>0</v>
      </c>
      <c r="E520" s="374">
        <v>9450</v>
      </c>
    </row>
    <row r="522" spans="1:5" ht="15.75" customHeight="1">
      <c r="A522" s="447" t="s">
        <v>866</v>
      </c>
      <c r="B522" s="449"/>
      <c r="C522" s="449"/>
      <c r="D522" s="449"/>
      <c r="E522" s="449"/>
    </row>
    <row r="523" spans="2:5" s="369" customFormat="1" ht="14.25">
      <c r="B523" s="370" t="s">
        <v>818</v>
      </c>
      <c r="C523" s="375">
        <v>328300</v>
      </c>
      <c r="D523" s="375">
        <v>0</v>
      </c>
      <c r="E523" s="375">
        <v>328300</v>
      </c>
    </row>
    <row r="524" spans="2:5" ht="15">
      <c r="B524" s="366" t="s">
        <v>817</v>
      </c>
      <c r="C524" s="374">
        <v>88880</v>
      </c>
      <c r="D524" s="374">
        <v>0</v>
      </c>
      <c r="E524" s="374">
        <v>88880</v>
      </c>
    </row>
    <row r="525" spans="2:5" ht="15">
      <c r="B525" s="366" t="s">
        <v>816</v>
      </c>
      <c r="C525" s="374">
        <v>175707</v>
      </c>
      <c r="D525" s="374">
        <v>0</v>
      </c>
      <c r="E525" s="374">
        <v>175707</v>
      </c>
    </row>
    <row r="526" spans="2:5" ht="15">
      <c r="B526" s="366" t="s">
        <v>813</v>
      </c>
      <c r="C526" s="374">
        <v>26530</v>
      </c>
      <c r="D526" s="374">
        <v>0</v>
      </c>
      <c r="E526" s="374">
        <v>26530</v>
      </c>
    </row>
    <row r="527" spans="2:5" ht="30">
      <c r="B527" s="366" t="s">
        <v>811</v>
      </c>
      <c r="C527" s="374">
        <v>37183</v>
      </c>
      <c r="D527" s="374">
        <v>0</v>
      </c>
      <c r="E527" s="374">
        <v>37183</v>
      </c>
    </row>
    <row r="528" ht="23.25" customHeight="1"/>
    <row r="529" spans="1:5" ht="31.5" customHeight="1">
      <c r="A529" s="451" t="s">
        <v>865</v>
      </c>
      <c r="B529" s="452"/>
      <c r="C529" s="452"/>
      <c r="D529" s="452"/>
      <c r="E529" s="452"/>
    </row>
    <row r="530" spans="1:5" ht="14.25">
      <c r="A530" s="367"/>
      <c r="B530" s="368" t="s">
        <v>818</v>
      </c>
      <c r="C530" s="373">
        <f>38353121-69882</f>
        <v>38283239</v>
      </c>
      <c r="D530" s="373">
        <v>0</v>
      </c>
      <c r="E530" s="373">
        <f>38353121-69882</f>
        <v>38283239</v>
      </c>
    </row>
    <row r="531" spans="1:5" ht="14.25">
      <c r="A531" s="367"/>
      <c r="B531" s="368" t="s">
        <v>817</v>
      </c>
      <c r="C531" s="373">
        <v>23338661</v>
      </c>
      <c r="D531" s="373">
        <v>0</v>
      </c>
      <c r="E531" s="373">
        <v>23338661</v>
      </c>
    </row>
    <row r="532" spans="1:5" ht="14.25">
      <c r="A532" s="367"/>
      <c r="B532" s="368" t="s">
        <v>816</v>
      </c>
      <c r="C532" s="373">
        <v>6137520</v>
      </c>
      <c r="D532" s="373">
        <v>0</v>
      </c>
      <c r="E532" s="373">
        <v>6137520</v>
      </c>
    </row>
    <row r="533" spans="1:5" ht="14.25">
      <c r="A533" s="367"/>
      <c r="B533" s="368" t="s">
        <v>815</v>
      </c>
      <c r="C533" s="373">
        <v>3142627</v>
      </c>
      <c r="D533" s="373">
        <v>0</v>
      </c>
      <c r="E533" s="373">
        <v>3142627</v>
      </c>
    </row>
    <row r="534" spans="1:5" ht="14.25">
      <c r="A534" s="367"/>
      <c r="B534" s="368" t="s">
        <v>813</v>
      </c>
      <c r="C534" s="373">
        <v>4184502</v>
      </c>
      <c r="D534" s="373">
        <v>0</v>
      </c>
      <c r="E534" s="373">
        <v>4184502</v>
      </c>
    </row>
    <row r="535" spans="1:5" ht="14.25">
      <c r="A535" s="367"/>
      <c r="B535" s="368" t="s">
        <v>812</v>
      </c>
      <c r="C535" s="373">
        <v>530655</v>
      </c>
      <c r="D535" s="373">
        <v>0</v>
      </c>
      <c r="E535" s="373">
        <v>530655</v>
      </c>
    </row>
    <row r="536" spans="1:5" ht="29.25" customHeight="1">
      <c r="A536" s="367"/>
      <c r="B536" s="368" t="s">
        <v>811</v>
      </c>
      <c r="C536" s="373">
        <v>949274</v>
      </c>
      <c r="D536" s="373">
        <v>0</v>
      </c>
      <c r="E536" s="373">
        <v>949274</v>
      </c>
    </row>
    <row r="538" spans="1:5" ht="15.75" customHeight="1">
      <c r="A538" s="447" t="s">
        <v>864</v>
      </c>
      <c r="B538" s="449"/>
      <c r="C538" s="449"/>
      <c r="D538" s="449"/>
      <c r="E538" s="449"/>
    </row>
    <row r="539" spans="2:5" s="369" customFormat="1" ht="14.25">
      <c r="B539" s="370" t="s">
        <v>818</v>
      </c>
      <c r="C539" s="375">
        <v>941961</v>
      </c>
      <c r="D539" s="375">
        <v>0</v>
      </c>
      <c r="E539" s="375">
        <v>941961</v>
      </c>
    </row>
    <row r="540" spans="2:5" ht="30">
      <c r="B540" s="366" t="s">
        <v>811</v>
      </c>
      <c r="C540" s="374">
        <v>941961</v>
      </c>
      <c r="D540" s="374">
        <v>0</v>
      </c>
      <c r="E540" s="374">
        <v>941961</v>
      </c>
    </row>
    <row r="542" spans="1:5" ht="31.5" customHeight="1">
      <c r="A542" s="447" t="s">
        <v>863</v>
      </c>
      <c r="B542" s="449"/>
      <c r="C542" s="449"/>
      <c r="D542" s="449"/>
      <c r="E542" s="449"/>
    </row>
    <row r="543" spans="2:5" s="369" customFormat="1" ht="14.25">
      <c r="B543" s="370" t="s">
        <v>818</v>
      </c>
      <c r="C543" s="375">
        <v>12269005</v>
      </c>
      <c r="D543" s="375">
        <v>0</v>
      </c>
      <c r="E543" s="375">
        <v>12269005</v>
      </c>
    </row>
    <row r="544" spans="2:5" ht="15">
      <c r="B544" s="366" t="s">
        <v>817</v>
      </c>
      <c r="C544" s="374">
        <v>6877076</v>
      </c>
      <c r="D544" s="374">
        <v>0</v>
      </c>
      <c r="E544" s="374">
        <v>6877076</v>
      </c>
    </row>
    <row r="545" spans="2:5" ht="15">
      <c r="B545" s="366" t="s">
        <v>816</v>
      </c>
      <c r="C545" s="374">
        <v>1346851</v>
      </c>
      <c r="D545" s="374">
        <v>0</v>
      </c>
      <c r="E545" s="374">
        <v>1346851</v>
      </c>
    </row>
    <row r="546" spans="2:5" ht="15">
      <c r="B546" s="366" t="s">
        <v>815</v>
      </c>
      <c r="C546" s="374">
        <v>2786634</v>
      </c>
      <c r="D546" s="374">
        <v>0</v>
      </c>
      <c r="E546" s="374">
        <v>2786634</v>
      </c>
    </row>
    <row r="547" spans="2:5" ht="15">
      <c r="B547" s="366" t="s">
        <v>813</v>
      </c>
      <c r="C547" s="374">
        <v>1258444</v>
      </c>
      <c r="D547" s="374">
        <v>0</v>
      </c>
      <c r="E547" s="374">
        <v>1258444</v>
      </c>
    </row>
    <row r="549" spans="1:5" ht="15.75" customHeight="1">
      <c r="A549" s="447" t="s">
        <v>862</v>
      </c>
      <c r="B549" s="449"/>
      <c r="C549" s="449"/>
      <c r="D549" s="449"/>
      <c r="E549" s="449"/>
    </row>
    <row r="550" spans="2:5" s="369" customFormat="1" ht="14.25">
      <c r="B550" s="370" t="s">
        <v>818</v>
      </c>
      <c r="C550" s="375">
        <v>14856125</v>
      </c>
      <c r="D550" s="375">
        <v>0</v>
      </c>
      <c r="E550" s="375">
        <v>14856125</v>
      </c>
    </row>
    <row r="551" spans="2:5" ht="15">
      <c r="B551" s="366" t="s">
        <v>817</v>
      </c>
      <c r="C551" s="374">
        <v>11251474</v>
      </c>
      <c r="D551" s="374">
        <v>0</v>
      </c>
      <c r="E551" s="374">
        <v>11251474</v>
      </c>
    </row>
    <row r="552" spans="2:5" ht="15">
      <c r="B552" s="366" t="s">
        <v>816</v>
      </c>
      <c r="C552" s="374">
        <v>2192991</v>
      </c>
      <c r="D552" s="374">
        <v>0</v>
      </c>
      <c r="E552" s="374">
        <v>2192991</v>
      </c>
    </row>
    <row r="553" spans="2:5" ht="15">
      <c r="B553" s="366" t="s">
        <v>815</v>
      </c>
      <c r="C553" s="374">
        <v>293852</v>
      </c>
      <c r="D553" s="374">
        <v>0</v>
      </c>
      <c r="E553" s="374">
        <v>293852</v>
      </c>
    </row>
    <row r="554" spans="2:5" ht="15">
      <c r="B554" s="366" t="s">
        <v>813</v>
      </c>
      <c r="C554" s="374">
        <v>1067812</v>
      </c>
      <c r="D554" s="374">
        <v>0</v>
      </c>
      <c r="E554" s="374">
        <v>1067812</v>
      </c>
    </row>
    <row r="555" spans="2:5" ht="15">
      <c r="B555" s="366" t="s">
        <v>812</v>
      </c>
      <c r="C555" s="374">
        <v>45710</v>
      </c>
      <c r="D555" s="374">
        <v>0</v>
      </c>
      <c r="E555" s="374">
        <v>45710</v>
      </c>
    </row>
    <row r="556" spans="2:5" ht="30">
      <c r="B556" s="366" t="s">
        <v>811</v>
      </c>
      <c r="C556" s="374">
        <v>4286</v>
      </c>
      <c r="D556" s="374">
        <v>0</v>
      </c>
      <c r="E556" s="374">
        <v>4286</v>
      </c>
    </row>
    <row r="558" spans="1:5" ht="15.75" customHeight="1">
      <c r="A558" s="447" t="s">
        <v>861</v>
      </c>
      <c r="B558" s="449"/>
      <c r="C558" s="449"/>
      <c r="D558" s="449"/>
      <c r="E558" s="449"/>
    </row>
    <row r="559" spans="2:5" s="369" customFormat="1" ht="14.25">
      <c r="B559" s="370" t="s">
        <v>818</v>
      </c>
      <c r="C559" s="375">
        <v>2334285</v>
      </c>
      <c r="D559" s="375">
        <v>0</v>
      </c>
      <c r="E559" s="375">
        <v>2334285</v>
      </c>
    </row>
    <row r="560" spans="2:5" ht="15">
      <c r="B560" s="366" t="s">
        <v>817</v>
      </c>
      <c r="C560" s="374">
        <v>1506061</v>
      </c>
      <c r="D560" s="374">
        <v>0</v>
      </c>
      <c r="E560" s="374">
        <v>1506061</v>
      </c>
    </row>
    <row r="561" spans="2:5" ht="15">
      <c r="B561" s="366" t="s">
        <v>816</v>
      </c>
      <c r="C561" s="374">
        <v>467191</v>
      </c>
      <c r="D561" s="374">
        <v>0</v>
      </c>
      <c r="E561" s="374">
        <v>467191</v>
      </c>
    </row>
    <row r="562" spans="2:5" ht="15">
      <c r="B562" s="366" t="s">
        <v>813</v>
      </c>
      <c r="C562" s="374">
        <v>360800</v>
      </c>
      <c r="D562" s="374">
        <v>0</v>
      </c>
      <c r="E562" s="374">
        <v>360800</v>
      </c>
    </row>
    <row r="563" spans="2:5" ht="30">
      <c r="B563" s="366" t="s">
        <v>811</v>
      </c>
      <c r="C563" s="374">
        <v>233</v>
      </c>
      <c r="D563" s="374">
        <v>0</v>
      </c>
      <c r="E563" s="374">
        <v>233</v>
      </c>
    </row>
    <row r="565" spans="1:5" ht="15.75" customHeight="1">
      <c r="A565" s="447" t="s">
        <v>860</v>
      </c>
      <c r="B565" s="449"/>
      <c r="C565" s="449"/>
      <c r="D565" s="449"/>
      <c r="E565" s="449"/>
    </row>
    <row r="566" spans="2:5" s="369" customFormat="1" ht="14.25">
      <c r="B566" s="370" t="s">
        <v>818</v>
      </c>
      <c r="C566" s="375">
        <v>294343</v>
      </c>
      <c r="D566" s="375">
        <v>0</v>
      </c>
      <c r="E566" s="375">
        <v>294343</v>
      </c>
    </row>
    <row r="567" spans="2:5" ht="15">
      <c r="B567" s="366" t="s">
        <v>817</v>
      </c>
      <c r="C567" s="374">
        <v>23253</v>
      </c>
      <c r="D567" s="374">
        <v>0</v>
      </c>
      <c r="E567" s="374">
        <v>23253</v>
      </c>
    </row>
    <row r="568" spans="2:5" ht="15">
      <c r="B568" s="366" t="s">
        <v>816</v>
      </c>
      <c r="C568" s="374">
        <v>228793</v>
      </c>
      <c r="D568" s="374">
        <v>0</v>
      </c>
      <c r="E568" s="374">
        <v>228793</v>
      </c>
    </row>
    <row r="569" spans="2:5" ht="15">
      <c r="B569" s="366" t="s">
        <v>815</v>
      </c>
      <c r="C569" s="374">
        <v>39997</v>
      </c>
      <c r="D569" s="374">
        <v>0</v>
      </c>
      <c r="E569" s="374">
        <v>39997</v>
      </c>
    </row>
    <row r="570" spans="2:5" ht="15">
      <c r="B570" s="366" t="s">
        <v>813</v>
      </c>
      <c r="C570" s="374">
        <v>2300</v>
      </c>
      <c r="D570" s="374">
        <v>0</v>
      </c>
      <c r="E570" s="374">
        <v>2300</v>
      </c>
    </row>
    <row r="572" spans="1:5" ht="31.5" customHeight="1">
      <c r="A572" s="447" t="s">
        <v>859</v>
      </c>
      <c r="B572" s="449"/>
      <c r="C572" s="449"/>
      <c r="D572" s="449"/>
      <c r="E572" s="449"/>
    </row>
    <row r="573" spans="2:5" s="369" customFormat="1" ht="14.25">
      <c r="B573" s="370" t="s">
        <v>818</v>
      </c>
      <c r="C573" s="375">
        <v>1300000</v>
      </c>
      <c r="D573" s="375">
        <v>0</v>
      </c>
      <c r="E573" s="375">
        <v>1300000</v>
      </c>
    </row>
    <row r="574" spans="2:5" ht="15">
      <c r="B574" s="366" t="s">
        <v>813</v>
      </c>
      <c r="C574" s="374">
        <v>1300000</v>
      </c>
      <c r="D574" s="374">
        <v>0</v>
      </c>
      <c r="E574" s="374">
        <v>1300000</v>
      </c>
    </row>
    <row r="576" spans="1:5" ht="15.75" customHeight="1">
      <c r="A576" s="447" t="s">
        <v>858</v>
      </c>
      <c r="B576" s="449"/>
      <c r="C576" s="449"/>
      <c r="D576" s="449"/>
      <c r="E576" s="449"/>
    </row>
    <row r="577" spans="2:5" s="369" customFormat="1" ht="14.25">
      <c r="B577" s="370" t="s">
        <v>818</v>
      </c>
      <c r="C577" s="375">
        <v>1312065</v>
      </c>
      <c r="D577" s="375">
        <v>0</v>
      </c>
      <c r="E577" s="375">
        <v>1312065</v>
      </c>
    </row>
    <row r="578" spans="2:5" ht="15">
      <c r="B578" s="366" t="s">
        <v>817</v>
      </c>
      <c r="C578" s="374">
        <v>1033859</v>
      </c>
      <c r="D578" s="374">
        <v>0</v>
      </c>
      <c r="E578" s="374">
        <v>1033859</v>
      </c>
    </row>
    <row r="579" spans="2:5" ht="15">
      <c r="B579" s="366" t="s">
        <v>816</v>
      </c>
      <c r="C579" s="374">
        <v>181604</v>
      </c>
      <c r="D579" s="374">
        <v>0</v>
      </c>
      <c r="E579" s="374">
        <v>181604</v>
      </c>
    </row>
    <row r="580" spans="2:5" ht="15">
      <c r="B580" s="366" t="s">
        <v>813</v>
      </c>
      <c r="C580" s="374">
        <v>10648</v>
      </c>
      <c r="D580" s="374">
        <v>0</v>
      </c>
      <c r="E580" s="374">
        <v>10648</v>
      </c>
    </row>
    <row r="581" spans="2:5" ht="15">
      <c r="B581" s="366" t="s">
        <v>812</v>
      </c>
      <c r="C581" s="374">
        <v>85945</v>
      </c>
      <c r="D581" s="374">
        <v>0</v>
      </c>
      <c r="E581" s="374">
        <v>85945</v>
      </c>
    </row>
    <row r="582" spans="2:5" ht="30">
      <c r="B582" s="366" t="s">
        <v>811</v>
      </c>
      <c r="C582" s="374">
        <v>9</v>
      </c>
      <c r="D582" s="374">
        <v>0</v>
      </c>
      <c r="E582" s="374">
        <v>9</v>
      </c>
    </row>
    <row r="584" spans="1:5" ht="15.75" customHeight="1">
      <c r="A584" s="447" t="s">
        <v>857</v>
      </c>
      <c r="B584" s="449"/>
      <c r="C584" s="449"/>
      <c r="D584" s="449"/>
      <c r="E584" s="449"/>
    </row>
    <row r="585" spans="2:5" s="369" customFormat="1" ht="14.25">
      <c r="B585" s="370" t="s">
        <v>818</v>
      </c>
      <c r="C585" s="375">
        <v>200642</v>
      </c>
      <c r="D585" s="375">
        <v>0</v>
      </c>
      <c r="E585" s="375">
        <v>200642</v>
      </c>
    </row>
    <row r="586" spans="2:5" ht="15">
      <c r="B586" s="366" t="s">
        <v>817</v>
      </c>
      <c r="C586" s="374">
        <v>77244</v>
      </c>
      <c r="D586" s="374">
        <v>0</v>
      </c>
      <c r="E586" s="374">
        <v>77244</v>
      </c>
    </row>
    <row r="587" spans="2:5" ht="15">
      <c r="B587" s="366" t="s">
        <v>816</v>
      </c>
      <c r="C587" s="374">
        <v>123398</v>
      </c>
      <c r="D587" s="374">
        <v>0</v>
      </c>
      <c r="E587" s="374">
        <v>123398</v>
      </c>
    </row>
    <row r="589" spans="1:5" ht="15.75" customHeight="1">
      <c r="A589" s="447" t="s">
        <v>856</v>
      </c>
      <c r="B589" s="449"/>
      <c r="C589" s="449"/>
      <c r="D589" s="449"/>
      <c r="E589" s="449"/>
    </row>
    <row r="590" spans="2:5" s="369" customFormat="1" ht="14.25">
      <c r="B590" s="370" t="s">
        <v>818</v>
      </c>
      <c r="C590" s="375">
        <v>1170899</v>
      </c>
      <c r="D590" s="375">
        <v>0</v>
      </c>
      <c r="E590" s="375">
        <v>1170899</v>
      </c>
    </row>
    <row r="591" spans="2:5" ht="15">
      <c r="B591" s="366" t="s">
        <v>817</v>
      </c>
      <c r="C591" s="374">
        <v>908866</v>
      </c>
      <c r="D591" s="374">
        <v>0</v>
      </c>
      <c r="E591" s="374">
        <v>908866</v>
      </c>
    </row>
    <row r="592" spans="2:5" ht="15">
      <c r="B592" s="366" t="s">
        <v>816</v>
      </c>
      <c r="C592" s="374">
        <v>234883</v>
      </c>
      <c r="D592" s="374">
        <v>0</v>
      </c>
      <c r="E592" s="374">
        <v>234883</v>
      </c>
    </row>
    <row r="593" spans="2:5" ht="15">
      <c r="B593" s="366" t="s">
        <v>815</v>
      </c>
      <c r="C593" s="374">
        <v>21224</v>
      </c>
      <c r="D593" s="374">
        <v>0</v>
      </c>
      <c r="E593" s="374">
        <v>21224</v>
      </c>
    </row>
    <row r="594" spans="2:5" ht="15">
      <c r="B594" s="366" t="s">
        <v>813</v>
      </c>
      <c r="C594" s="374">
        <v>5926</v>
      </c>
      <c r="D594" s="374">
        <v>0</v>
      </c>
      <c r="E594" s="374">
        <v>5926</v>
      </c>
    </row>
    <row r="596" spans="1:5" ht="15.75" customHeight="1">
      <c r="A596" s="447" t="s">
        <v>855</v>
      </c>
      <c r="B596" s="449"/>
      <c r="C596" s="449"/>
      <c r="D596" s="449"/>
      <c r="E596" s="449"/>
    </row>
    <row r="597" spans="2:5" s="369" customFormat="1" ht="14.25">
      <c r="B597" s="370" t="s">
        <v>818</v>
      </c>
      <c r="C597" s="375">
        <v>298851</v>
      </c>
      <c r="D597" s="375">
        <v>0</v>
      </c>
      <c r="E597" s="375">
        <v>298851</v>
      </c>
    </row>
    <row r="598" spans="2:5" ht="15">
      <c r="B598" s="366" t="s">
        <v>817</v>
      </c>
      <c r="C598" s="374">
        <v>242507</v>
      </c>
      <c r="D598" s="374">
        <v>0</v>
      </c>
      <c r="E598" s="374">
        <v>242507</v>
      </c>
    </row>
    <row r="599" spans="2:5" ht="15">
      <c r="B599" s="366" t="s">
        <v>816</v>
      </c>
      <c r="C599" s="374">
        <v>49650</v>
      </c>
      <c r="D599" s="374">
        <v>0</v>
      </c>
      <c r="E599" s="374">
        <v>49650</v>
      </c>
    </row>
    <row r="600" spans="2:5" ht="15">
      <c r="B600" s="366" t="s">
        <v>813</v>
      </c>
      <c r="C600" s="374">
        <v>6050</v>
      </c>
      <c r="D600" s="374">
        <v>0</v>
      </c>
      <c r="E600" s="374">
        <v>6050</v>
      </c>
    </row>
    <row r="601" spans="2:5" ht="30">
      <c r="B601" s="366" t="s">
        <v>811</v>
      </c>
      <c r="C601" s="374">
        <v>644</v>
      </c>
      <c r="D601" s="374">
        <v>0</v>
      </c>
      <c r="E601" s="374">
        <v>644</v>
      </c>
    </row>
    <row r="603" spans="1:5" ht="15.75" customHeight="1">
      <c r="A603" s="447" t="s">
        <v>854</v>
      </c>
      <c r="B603" s="449"/>
      <c r="C603" s="449"/>
      <c r="D603" s="449"/>
      <c r="E603" s="449"/>
    </row>
    <row r="604" spans="2:5" s="369" customFormat="1" ht="14.25">
      <c r="B604" s="370" t="s">
        <v>818</v>
      </c>
      <c r="C604" s="375">
        <v>1025855</v>
      </c>
      <c r="D604" s="375">
        <v>0</v>
      </c>
      <c r="E604" s="375">
        <v>1025855</v>
      </c>
    </row>
    <row r="605" spans="2:5" ht="15">
      <c r="B605" s="366" t="s">
        <v>816</v>
      </c>
      <c r="C605" s="374">
        <v>1023714</v>
      </c>
      <c r="D605" s="374">
        <v>0</v>
      </c>
      <c r="E605" s="374">
        <v>1023714</v>
      </c>
    </row>
    <row r="606" spans="2:5" ht="30">
      <c r="B606" s="366" t="s">
        <v>811</v>
      </c>
      <c r="C606" s="374">
        <v>2141</v>
      </c>
      <c r="D606" s="374">
        <v>0</v>
      </c>
      <c r="E606" s="374">
        <v>2141</v>
      </c>
    </row>
    <row r="608" spans="1:5" ht="31.5" customHeight="1">
      <c r="A608" s="447" t="s">
        <v>853</v>
      </c>
      <c r="B608" s="449"/>
      <c r="C608" s="449"/>
      <c r="D608" s="449"/>
      <c r="E608" s="449"/>
    </row>
    <row r="609" spans="2:5" s="369" customFormat="1" ht="14.25">
      <c r="B609" s="370" t="s">
        <v>818</v>
      </c>
      <c r="C609" s="375">
        <v>135026</v>
      </c>
      <c r="D609" s="375">
        <v>0</v>
      </c>
      <c r="E609" s="375">
        <v>135026</v>
      </c>
    </row>
    <row r="610" spans="2:5" ht="15">
      <c r="B610" s="366" t="s">
        <v>817</v>
      </c>
      <c r="C610" s="374">
        <v>72043</v>
      </c>
      <c r="D610" s="374">
        <v>0</v>
      </c>
      <c r="E610" s="374">
        <v>72043</v>
      </c>
    </row>
    <row r="611" spans="2:5" ht="15">
      <c r="B611" s="366" t="s">
        <v>816</v>
      </c>
      <c r="C611" s="374">
        <v>60983</v>
      </c>
      <c r="D611" s="374">
        <v>0</v>
      </c>
      <c r="E611" s="374">
        <v>60983</v>
      </c>
    </row>
    <row r="612" spans="2:5" ht="15">
      <c r="B612" s="366" t="s">
        <v>813</v>
      </c>
      <c r="C612" s="374">
        <v>2000</v>
      </c>
      <c r="D612" s="374">
        <v>0</v>
      </c>
      <c r="E612" s="374">
        <v>2000</v>
      </c>
    </row>
    <row r="614" spans="1:5" ht="15.75" customHeight="1">
      <c r="A614" s="447" t="s">
        <v>852</v>
      </c>
      <c r="B614" s="449"/>
      <c r="C614" s="449"/>
      <c r="D614" s="449"/>
      <c r="E614" s="449"/>
    </row>
    <row r="615" spans="2:5" s="369" customFormat="1" ht="14.25">
      <c r="B615" s="370" t="s">
        <v>818</v>
      </c>
      <c r="C615" s="375">
        <v>22984</v>
      </c>
      <c r="D615" s="375">
        <v>0</v>
      </c>
      <c r="E615" s="375">
        <v>22984</v>
      </c>
    </row>
    <row r="616" spans="2:5" ht="15">
      <c r="B616" s="366" t="s">
        <v>817</v>
      </c>
      <c r="C616" s="374">
        <v>22984</v>
      </c>
      <c r="D616" s="374">
        <v>0</v>
      </c>
      <c r="E616" s="374">
        <v>22984</v>
      </c>
    </row>
    <row r="618" spans="1:5" ht="31.5" customHeight="1">
      <c r="A618" s="447" t="s">
        <v>851</v>
      </c>
      <c r="B618" s="449"/>
      <c r="C618" s="449"/>
      <c r="D618" s="449"/>
      <c r="E618" s="449"/>
    </row>
    <row r="619" spans="2:5" s="369" customFormat="1" ht="14.25">
      <c r="B619" s="370" t="s">
        <v>818</v>
      </c>
      <c r="C619" s="375">
        <v>262953</v>
      </c>
      <c r="D619" s="375">
        <v>0</v>
      </c>
      <c r="E619" s="375">
        <v>262953</v>
      </c>
    </row>
    <row r="620" spans="2:5" ht="15">
      <c r="B620" s="366" t="s">
        <v>817</v>
      </c>
      <c r="C620" s="374">
        <v>129089</v>
      </c>
      <c r="D620" s="374">
        <v>0</v>
      </c>
      <c r="E620" s="374">
        <v>129089</v>
      </c>
    </row>
    <row r="621" spans="2:5" ht="15">
      <c r="B621" s="366" t="s">
        <v>816</v>
      </c>
      <c r="C621" s="374">
        <v>105113</v>
      </c>
      <c r="D621" s="374">
        <v>0</v>
      </c>
      <c r="E621" s="374">
        <v>105113</v>
      </c>
    </row>
    <row r="622" spans="2:5" ht="15">
      <c r="B622" s="366" t="s">
        <v>813</v>
      </c>
      <c r="C622" s="374">
        <v>28751</v>
      </c>
      <c r="D622" s="374">
        <v>0</v>
      </c>
      <c r="E622" s="374">
        <v>28751</v>
      </c>
    </row>
    <row r="624" spans="1:5" ht="15.75" customHeight="1">
      <c r="A624" s="447" t="s">
        <v>850</v>
      </c>
      <c r="B624" s="449"/>
      <c r="C624" s="449"/>
      <c r="D624" s="449"/>
      <c r="E624" s="449"/>
    </row>
    <row r="625" spans="2:5" s="369" customFormat="1" ht="14.25">
      <c r="B625" s="370" t="s">
        <v>818</v>
      </c>
      <c r="C625" s="375">
        <v>1018752</v>
      </c>
      <c r="D625" s="375">
        <v>0</v>
      </c>
      <c r="E625" s="375">
        <v>1018752</v>
      </c>
    </row>
    <row r="626" spans="2:5" ht="15">
      <c r="B626" s="366" t="s">
        <v>817</v>
      </c>
      <c r="C626" s="374">
        <v>770744</v>
      </c>
      <c r="D626" s="374">
        <v>0</v>
      </c>
      <c r="E626" s="374">
        <v>770744</v>
      </c>
    </row>
    <row r="627" spans="2:5" ht="15">
      <c r="B627" s="366" t="s">
        <v>816</v>
      </c>
      <c r="C627" s="374">
        <v>89237</v>
      </c>
      <c r="D627" s="374">
        <v>0</v>
      </c>
      <c r="E627" s="374">
        <v>89237</v>
      </c>
    </row>
    <row r="628" spans="2:5" ht="15">
      <c r="B628" s="366" t="s">
        <v>813</v>
      </c>
      <c r="C628" s="374">
        <v>141771</v>
      </c>
      <c r="D628" s="374">
        <v>0</v>
      </c>
      <c r="E628" s="374">
        <v>141771</v>
      </c>
    </row>
    <row r="629" spans="2:5" ht="15">
      <c r="B629" s="366" t="s">
        <v>812</v>
      </c>
      <c r="C629" s="374">
        <v>17000</v>
      </c>
      <c r="D629" s="374">
        <v>0</v>
      </c>
      <c r="E629" s="374">
        <v>17000</v>
      </c>
    </row>
    <row r="631" spans="1:5" ht="15.75" customHeight="1">
      <c r="A631" s="447" t="s">
        <v>849</v>
      </c>
      <c r="B631" s="449"/>
      <c r="C631" s="449"/>
      <c r="D631" s="449"/>
      <c r="E631" s="449"/>
    </row>
    <row r="632" spans="2:5" s="369" customFormat="1" ht="14.25">
      <c r="B632" s="370" t="s">
        <v>818</v>
      </c>
      <c r="C632" s="375">
        <v>334717</v>
      </c>
      <c r="D632" s="375">
        <v>0</v>
      </c>
      <c r="E632" s="375">
        <v>334717</v>
      </c>
    </row>
    <row r="633" spans="2:5" ht="15">
      <c r="B633" s="366" t="s">
        <v>817</v>
      </c>
      <c r="C633" s="374">
        <v>305983</v>
      </c>
      <c r="D633" s="374">
        <v>0</v>
      </c>
      <c r="E633" s="374">
        <v>305983</v>
      </c>
    </row>
    <row r="634" spans="2:5" ht="15">
      <c r="B634" s="366" t="s">
        <v>816</v>
      </c>
      <c r="C634" s="374">
        <v>27814</v>
      </c>
      <c r="D634" s="374">
        <v>0</v>
      </c>
      <c r="E634" s="374">
        <v>27814</v>
      </c>
    </row>
    <row r="635" spans="2:5" ht="15">
      <c r="B635" s="366" t="s">
        <v>815</v>
      </c>
      <c r="C635" s="374">
        <v>920</v>
      </c>
      <c r="D635" s="374">
        <v>0</v>
      </c>
      <c r="E635" s="374">
        <v>920</v>
      </c>
    </row>
    <row r="637" spans="1:5" ht="15.75" customHeight="1">
      <c r="A637" s="447" t="s">
        <v>848</v>
      </c>
      <c r="B637" s="449"/>
      <c r="C637" s="449"/>
      <c r="D637" s="449"/>
      <c r="E637" s="449"/>
    </row>
    <row r="638" spans="2:5" s="369" customFormat="1" ht="14.25">
      <c r="B638" s="370" t="s">
        <v>818</v>
      </c>
      <c r="C638" s="375">
        <v>122776</v>
      </c>
      <c r="D638" s="375">
        <v>0</v>
      </c>
      <c r="E638" s="375">
        <v>122776</v>
      </c>
    </row>
    <row r="639" spans="2:5" ht="15">
      <c r="B639" s="366" t="s">
        <v>817</v>
      </c>
      <c r="C639" s="374">
        <v>117478</v>
      </c>
      <c r="D639" s="374">
        <v>0</v>
      </c>
      <c r="E639" s="374">
        <v>117478</v>
      </c>
    </row>
    <row r="640" spans="2:5" ht="15">
      <c r="B640" s="366" t="s">
        <v>816</v>
      </c>
      <c r="C640" s="374">
        <v>5298</v>
      </c>
      <c r="D640" s="374">
        <v>0</v>
      </c>
      <c r="E640" s="374">
        <v>5298</v>
      </c>
    </row>
    <row r="642" spans="1:5" ht="15.75" customHeight="1">
      <c r="A642" s="447" t="s">
        <v>847</v>
      </c>
      <c r="B642" s="449"/>
      <c r="C642" s="449"/>
      <c r="D642" s="449"/>
      <c r="E642" s="449"/>
    </row>
    <row r="643" spans="2:5" s="369" customFormat="1" ht="14.25">
      <c r="B643" s="370" t="s">
        <v>818</v>
      </c>
      <c r="C643" s="375">
        <v>382000</v>
      </c>
      <c r="D643" s="375">
        <v>0</v>
      </c>
      <c r="E643" s="375">
        <v>382000</v>
      </c>
    </row>
    <row r="644" spans="2:5" ht="15">
      <c r="B644" s="366" t="s">
        <v>812</v>
      </c>
      <c r="C644" s="374">
        <v>382000</v>
      </c>
      <c r="D644" s="374">
        <v>0</v>
      </c>
      <c r="E644" s="374">
        <v>382000</v>
      </c>
    </row>
    <row r="645" ht="22.5" customHeight="1"/>
    <row r="646" spans="1:5" ht="15.75" customHeight="1">
      <c r="A646" s="451" t="s">
        <v>846</v>
      </c>
      <c r="B646" s="452"/>
      <c r="C646" s="452"/>
      <c r="D646" s="452"/>
      <c r="E646" s="452"/>
    </row>
    <row r="647" spans="1:5" ht="14.25">
      <c r="A647" s="367"/>
      <c r="B647" s="368" t="s">
        <v>818</v>
      </c>
      <c r="C647" s="373">
        <v>244518</v>
      </c>
      <c r="D647" s="373">
        <v>0</v>
      </c>
      <c r="E647" s="373">
        <v>244518</v>
      </c>
    </row>
    <row r="648" spans="1:5" ht="14.25">
      <c r="A648" s="367"/>
      <c r="B648" s="368" t="s">
        <v>817</v>
      </c>
      <c r="C648" s="373">
        <v>217830</v>
      </c>
      <c r="D648" s="373">
        <v>0</v>
      </c>
      <c r="E648" s="373">
        <v>217830</v>
      </c>
    </row>
    <row r="649" spans="1:5" ht="14.25">
      <c r="A649" s="367"/>
      <c r="B649" s="368" t="s">
        <v>816</v>
      </c>
      <c r="C649" s="373">
        <v>22188</v>
      </c>
      <c r="D649" s="373">
        <v>0</v>
      </c>
      <c r="E649" s="373">
        <v>22188</v>
      </c>
    </row>
    <row r="650" spans="1:5" ht="14.25">
      <c r="A650" s="367"/>
      <c r="B650" s="368" t="s">
        <v>813</v>
      </c>
      <c r="C650" s="373">
        <v>4500</v>
      </c>
      <c r="D650" s="373">
        <v>0</v>
      </c>
      <c r="E650" s="373">
        <v>4500</v>
      </c>
    </row>
    <row r="652" spans="1:5" ht="15.75" customHeight="1">
      <c r="A652" s="447" t="s">
        <v>845</v>
      </c>
      <c r="B652" s="449"/>
      <c r="C652" s="449"/>
      <c r="D652" s="449"/>
      <c r="E652" s="449"/>
    </row>
    <row r="653" spans="2:5" s="369" customFormat="1" ht="14.25">
      <c r="B653" s="370" t="s">
        <v>818</v>
      </c>
      <c r="C653" s="375">
        <v>244518</v>
      </c>
      <c r="D653" s="375">
        <v>0</v>
      </c>
      <c r="E653" s="375">
        <v>244518</v>
      </c>
    </row>
    <row r="654" spans="2:5" ht="15">
      <c r="B654" s="366" t="s">
        <v>817</v>
      </c>
      <c r="C654" s="374">
        <v>217830</v>
      </c>
      <c r="D654" s="374">
        <v>0</v>
      </c>
      <c r="E654" s="374">
        <v>217830</v>
      </c>
    </row>
    <row r="655" spans="2:5" ht="15">
      <c r="B655" s="366" t="s">
        <v>816</v>
      </c>
      <c r="C655" s="374">
        <v>22188</v>
      </c>
      <c r="D655" s="374">
        <v>0</v>
      </c>
      <c r="E655" s="374">
        <v>22188</v>
      </c>
    </row>
    <row r="656" spans="2:5" ht="15">
      <c r="B656" s="366" t="s">
        <v>813</v>
      </c>
      <c r="C656" s="374">
        <v>4500</v>
      </c>
      <c r="D656" s="374">
        <v>0</v>
      </c>
      <c r="E656" s="374">
        <v>4500</v>
      </c>
    </row>
    <row r="657" ht="18" customHeight="1"/>
    <row r="658" spans="1:5" ht="31.5" customHeight="1">
      <c r="A658" s="451" t="s">
        <v>844</v>
      </c>
      <c r="B658" s="452"/>
      <c r="C658" s="452"/>
      <c r="D658" s="452"/>
      <c r="E658" s="452"/>
    </row>
    <row r="659" spans="1:5" ht="14.25">
      <c r="A659" s="367"/>
      <c r="B659" s="368" t="s">
        <v>818</v>
      </c>
      <c r="C659" s="373">
        <v>10520734</v>
      </c>
      <c r="D659" s="373">
        <v>0</v>
      </c>
      <c r="E659" s="373">
        <v>10520734</v>
      </c>
    </row>
    <row r="660" spans="1:5" ht="14.25">
      <c r="A660" s="367"/>
      <c r="B660" s="368" t="s">
        <v>817</v>
      </c>
      <c r="C660" s="373">
        <v>4284583</v>
      </c>
      <c r="D660" s="373">
        <v>0</v>
      </c>
      <c r="E660" s="373">
        <v>4284583</v>
      </c>
    </row>
    <row r="661" spans="1:5" ht="14.25">
      <c r="A661" s="367"/>
      <c r="B661" s="368" t="s">
        <v>816</v>
      </c>
      <c r="C661" s="373">
        <v>637077</v>
      </c>
      <c r="D661" s="373">
        <v>0</v>
      </c>
      <c r="E661" s="373">
        <v>637077</v>
      </c>
    </row>
    <row r="662" spans="1:5" ht="14.25">
      <c r="A662" s="367"/>
      <c r="B662" s="368" t="s">
        <v>813</v>
      </c>
      <c r="C662" s="373">
        <v>35200</v>
      </c>
      <c r="D662" s="373">
        <v>0</v>
      </c>
      <c r="E662" s="373">
        <v>35200</v>
      </c>
    </row>
    <row r="663" spans="1:5" ht="14.25">
      <c r="A663" s="367"/>
      <c r="B663" s="368" t="s">
        <v>812</v>
      </c>
      <c r="C663" s="373">
        <v>5558777</v>
      </c>
      <c r="D663" s="373">
        <v>0</v>
      </c>
      <c r="E663" s="373">
        <v>5558777</v>
      </c>
    </row>
    <row r="664" spans="1:5" ht="31.5" customHeight="1">
      <c r="A664" s="367"/>
      <c r="B664" s="368" t="s">
        <v>811</v>
      </c>
      <c r="C664" s="373">
        <v>5097</v>
      </c>
      <c r="D664" s="373">
        <v>0</v>
      </c>
      <c r="E664" s="373">
        <v>5097</v>
      </c>
    </row>
    <row r="666" spans="1:5" ht="15.75" customHeight="1">
      <c r="A666" s="447" t="s">
        <v>843</v>
      </c>
      <c r="B666" s="449"/>
      <c r="C666" s="449"/>
      <c r="D666" s="449"/>
      <c r="E666" s="449"/>
    </row>
    <row r="667" spans="2:5" s="369" customFormat="1" ht="14.25">
      <c r="B667" s="370" t="s">
        <v>818</v>
      </c>
      <c r="C667" s="375">
        <v>72630</v>
      </c>
      <c r="D667" s="375">
        <v>0</v>
      </c>
      <c r="E667" s="375">
        <v>72630</v>
      </c>
    </row>
    <row r="668" spans="2:5" ht="15">
      <c r="B668" s="366" t="s">
        <v>812</v>
      </c>
      <c r="C668" s="374">
        <v>72630</v>
      </c>
      <c r="D668" s="374">
        <v>0</v>
      </c>
      <c r="E668" s="374">
        <v>72630</v>
      </c>
    </row>
    <row r="670" spans="1:5" ht="15.75" customHeight="1">
      <c r="A670" s="447" t="s">
        <v>842</v>
      </c>
      <c r="B670" s="449"/>
      <c r="C670" s="449"/>
      <c r="D670" s="449"/>
      <c r="E670" s="449"/>
    </row>
    <row r="671" spans="2:5" s="369" customFormat="1" ht="14.25">
      <c r="B671" s="370" t="s">
        <v>818</v>
      </c>
      <c r="C671" s="375">
        <v>13730</v>
      </c>
      <c r="D671" s="375">
        <v>0</v>
      </c>
      <c r="E671" s="375">
        <v>13730</v>
      </c>
    </row>
    <row r="672" spans="2:5" ht="15">
      <c r="B672" s="366" t="s">
        <v>812</v>
      </c>
      <c r="C672" s="374">
        <v>13730</v>
      </c>
      <c r="D672" s="374">
        <v>0</v>
      </c>
      <c r="E672" s="374">
        <v>13730</v>
      </c>
    </row>
    <row r="674" spans="1:5" ht="15.75" customHeight="1">
      <c r="A674" s="447" t="s">
        <v>841</v>
      </c>
      <c r="B674" s="449"/>
      <c r="C674" s="449"/>
      <c r="D674" s="449"/>
      <c r="E674" s="449"/>
    </row>
    <row r="675" spans="2:5" s="369" customFormat="1" ht="14.25">
      <c r="B675" s="370" t="s">
        <v>818</v>
      </c>
      <c r="C675" s="375">
        <v>27420</v>
      </c>
      <c r="D675" s="375">
        <v>0</v>
      </c>
      <c r="E675" s="375">
        <v>27420</v>
      </c>
    </row>
    <row r="676" spans="2:5" ht="15">
      <c r="B676" s="366" t="s">
        <v>812</v>
      </c>
      <c r="C676" s="374">
        <v>27420</v>
      </c>
      <c r="D676" s="374">
        <v>0</v>
      </c>
      <c r="E676" s="374">
        <v>27420</v>
      </c>
    </row>
    <row r="678" spans="1:5" ht="15.75" customHeight="1">
      <c r="A678" s="447" t="s">
        <v>840</v>
      </c>
      <c r="B678" s="449"/>
      <c r="C678" s="449"/>
      <c r="D678" s="449"/>
      <c r="E678" s="449"/>
    </row>
    <row r="679" spans="2:5" s="369" customFormat="1" ht="14.25">
      <c r="B679" s="370" t="s">
        <v>818</v>
      </c>
      <c r="C679" s="375">
        <v>4386</v>
      </c>
      <c r="D679" s="375">
        <v>0</v>
      </c>
      <c r="E679" s="375">
        <v>4386</v>
      </c>
    </row>
    <row r="680" spans="2:5" ht="15">
      <c r="B680" s="366" t="s">
        <v>816</v>
      </c>
      <c r="C680" s="374">
        <v>4386</v>
      </c>
      <c r="D680" s="374">
        <v>0</v>
      </c>
      <c r="E680" s="374">
        <v>4386</v>
      </c>
    </row>
    <row r="682" spans="1:5" ht="15.75" customHeight="1">
      <c r="A682" s="447" t="s">
        <v>839</v>
      </c>
      <c r="B682" s="449"/>
      <c r="C682" s="449"/>
      <c r="D682" s="449"/>
      <c r="E682" s="449"/>
    </row>
    <row r="683" spans="2:5" s="369" customFormat="1" ht="14.25">
      <c r="B683" s="370" t="s">
        <v>818</v>
      </c>
      <c r="C683" s="375">
        <v>1796237</v>
      </c>
      <c r="D683" s="375">
        <v>0</v>
      </c>
      <c r="E683" s="375">
        <v>1796237</v>
      </c>
    </row>
    <row r="684" spans="2:5" ht="15">
      <c r="B684" s="366" t="s">
        <v>817</v>
      </c>
      <c r="C684" s="374">
        <v>1583484</v>
      </c>
      <c r="D684" s="374">
        <v>0</v>
      </c>
      <c r="E684" s="374">
        <v>1583484</v>
      </c>
    </row>
    <row r="685" spans="2:5" ht="15">
      <c r="B685" s="366" t="s">
        <v>816</v>
      </c>
      <c r="C685" s="374">
        <v>44678</v>
      </c>
      <c r="D685" s="374">
        <v>0</v>
      </c>
      <c r="E685" s="374">
        <v>44678</v>
      </c>
    </row>
    <row r="686" spans="2:5" ht="15">
      <c r="B686" s="366" t="s">
        <v>813</v>
      </c>
      <c r="C686" s="374">
        <v>1300</v>
      </c>
      <c r="D686" s="374">
        <v>0</v>
      </c>
      <c r="E686" s="374">
        <v>1300</v>
      </c>
    </row>
    <row r="687" spans="2:5" ht="15">
      <c r="B687" s="366" t="s">
        <v>812</v>
      </c>
      <c r="C687" s="374">
        <v>166753</v>
      </c>
      <c r="D687" s="374">
        <v>0</v>
      </c>
      <c r="E687" s="374">
        <v>166753</v>
      </c>
    </row>
    <row r="688" spans="2:5" ht="30">
      <c r="B688" s="366" t="s">
        <v>811</v>
      </c>
      <c r="C688" s="374">
        <v>22</v>
      </c>
      <c r="D688" s="374">
        <v>0</v>
      </c>
      <c r="E688" s="374">
        <v>22</v>
      </c>
    </row>
    <row r="690" spans="1:5" ht="15.75" customHeight="1">
      <c r="A690" s="447" t="s">
        <v>838</v>
      </c>
      <c r="B690" s="449"/>
      <c r="C690" s="449"/>
      <c r="D690" s="449"/>
      <c r="E690" s="449"/>
    </row>
    <row r="691" spans="2:5" s="369" customFormat="1" ht="14.25">
      <c r="B691" s="370" t="s">
        <v>818</v>
      </c>
      <c r="C691" s="375">
        <v>128811</v>
      </c>
      <c r="D691" s="375">
        <v>0</v>
      </c>
      <c r="E691" s="375">
        <v>128811</v>
      </c>
    </row>
    <row r="692" spans="2:5" ht="15">
      <c r="B692" s="366" t="s">
        <v>817</v>
      </c>
      <c r="C692" s="374">
        <v>97737</v>
      </c>
      <c r="D692" s="374">
        <v>0</v>
      </c>
      <c r="E692" s="374">
        <v>97737</v>
      </c>
    </row>
    <row r="693" spans="2:5" ht="15">
      <c r="B693" s="366" t="s">
        <v>816</v>
      </c>
      <c r="C693" s="374">
        <v>29457</v>
      </c>
      <c r="D693" s="374">
        <v>0</v>
      </c>
      <c r="E693" s="374">
        <v>29457</v>
      </c>
    </row>
    <row r="694" spans="2:5" ht="15">
      <c r="B694" s="366" t="s">
        <v>813</v>
      </c>
      <c r="C694" s="374">
        <v>1300</v>
      </c>
      <c r="D694" s="374">
        <v>0</v>
      </c>
      <c r="E694" s="374">
        <v>1300</v>
      </c>
    </row>
    <row r="695" spans="2:5" ht="30">
      <c r="B695" s="366" t="s">
        <v>811</v>
      </c>
      <c r="C695" s="374">
        <v>317</v>
      </c>
      <c r="D695" s="374">
        <v>0</v>
      </c>
      <c r="E695" s="374">
        <v>317</v>
      </c>
    </row>
    <row r="697" spans="1:5" ht="15.75" customHeight="1">
      <c r="A697" s="447" t="s">
        <v>837</v>
      </c>
      <c r="B697" s="449"/>
      <c r="C697" s="449"/>
      <c r="D697" s="449"/>
      <c r="E697" s="449"/>
    </row>
    <row r="698" spans="2:5" s="369" customFormat="1" ht="14.25">
      <c r="B698" s="370" t="s">
        <v>818</v>
      </c>
      <c r="C698" s="375">
        <v>124964</v>
      </c>
      <c r="D698" s="375">
        <v>0</v>
      </c>
      <c r="E698" s="375">
        <v>124964</v>
      </c>
    </row>
    <row r="699" spans="2:5" ht="15">
      <c r="B699" s="366" t="s">
        <v>817</v>
      </c>
      <c r="C699" s="374">
        <v>90561</v>
      </c>
      <c r="D699" s="374">
        <v>0</v>
      </c>
      <c r="E699" s="374">
        <v>90561</v>
      </c>
    </row>
    <row r="700" spans="2:5" ht="15">
      <c r="B700" s="366" t="s">
        <v>816</v>
      </c>
      <c r="C700" s="374">
        <v>32708</v>
      </c>
      <c r="D700" s="374">
        <v>0</v>
      </c>
      <c r="E700" s="374">
        <v>32708</v>
      </c>
    </row>
    <row r="701" spans="2:5" ht="15">
      <c r="B701" s="366" t="s">
        <v>813</v>
      </c>
      <c r="C701" s="374">
        <v>1300</v>
      </c>
      <c r="D701" s="374">
        <v>0</v>
      </c>
      <c r="E701" s="374">
        <v>1300</v>
      </c>
    </row>
    <row r="702" spans="2:5" ht="30">
      <c r="B702" s="366" t="s">
        <v>811</v>
      </c>
      <c r="C702" s="374">
        <v>395</v>
      </c>
      <c r="D702" s="374">
        <v>0</v>
      </c>
      <c r="E702" s="374">
        <v>395</v>
      </c>
    </row>
    <row r="704" spans="1:5" ht="15.75" customHeight="1">
      <c r="A704" s="447" t="s">
        <v>836</v>
      </c>
      <c r="B704" s="449"/>
      <c r="C704" s="449"/>
      <c r="D704" s="449"/>
      <c r="E704" s="449"/>
    </row>
    <row r="705" spans="2:5" s="369" customFormat="1" ht="14.25">
      <c r="B705" s="370" t="s">
        <v>818</v>
      </c>
      <c r="C705" s="375">
        <v>137159</v>
      </c>
      <c r="D705" s="375">
        <v>0</v>
      </c>
      <c r="E705" s="375">
        <v>137159</v>
      </c>
    </row>
    <row r="706" spans="2:5" ht="15">
      <c r="B706" s="366" t="s">
        <v>817</v>
      </c>
      <c r="C706" s="374">
        <v>93322</v>
      </c>
      <c r="D706" s="374">
        <v>0</v>
      </c>
      <c r="E706" s="374">
        <v>93322</v>
      </c>
    </row>
    <row r="707" spans="2:5" ht="15">
      <c r="B707" s="366" t="s">
        <v>816</v>
      </c>
      <c r="C707" s="374">
        <v>43724</v>
      </c>
      <c r="D707" s="374">
        <v>0</v>
      </c>
      <c r="E707" s="374">
        <v>43724</v>
      </c>
    </row>
    <row r="708" spans="2:5" ht="30">
      <c r="B708" s="366" t="s">
        <v>811</v>
      </c>
      <c r="C708" s="374">
        <v>113</v>
      </c>
      <c r="D708" s="374">
        <v>0</v>
      </c>
      <c r="E708" s="374">
        <v>113</v>
      </c>
    </row>
    <row r="710" spans="1:5" ht="15.75" customHeight="1">
      <c r="A710" s="447" t="s">
        <v>835</v>
      </c>
      <c r="B710" s="449"/>
      <c r="C710" s="449"/>
      <c r="D710" s="449"/>
      <c r="E710" s="449"/>
    </row>
    <row r="711" spans="2:5" s="369" customFormat="1" ht="14.25">
      <c r="B711" s="370" t="s">
        <v>818</v>
      </c>
      <c r="C711" s="375">
        <v>162560</v>
      </c>
      <c r="D711" s="375">
        <v>0</v>
      </c>
      <c r="E711" s="375">
        <v>162560</v>
      </c>
    </row>
    <row r="712" spans="2:5" ht="15">
      <c r="B712" s="366" t="s">
        <v>817</v>
      </c>
      <c r="C712" s="374">
        <v>122028</v>
      </c>
      <c r="D712" s="374">
        <v>0</v>
      </c>
      <c r="E712" s="374">
        <v>122028</v>
      </c>
    </row>
    <row r="713" spans="2:5" ht="15">
      <c r="B713" s="366" t="s">
        <v>816</v>
      </c>
      <c r="C713" s="374">
        <v>37776</v>
      </c>
      <c r="D713" s="374">
        <v>0</v>
      </c>
      <c r="E713" s="374">
        <v>37776</v>
      </c>
    </row>
    <row r="714" spans="2:5" ht="15">
      <c r="B714" s="366" t="s">
        <v>813</v>
      </c>
      <c r="C714" s="374">
        <v>2400</v>
      </c>
      <c r="D714" s="374">
        <v>0</v>
      </c>
      <c r="E714" s="374">
        <v>2400</v>
      </c>
    </row>
    <row r="715" spans="2:5" ht="30">
      <c r="B715" s="366" t="s">
        <v>811</v>
      </c>
      <c r="C715" s="374">
        <v>356</v>
      </c>
      <c r="D715" s="374">
        <v>0</v>
      </c>
      <c r="E715" s="374">
        <v>356</v>
      </c>
    </row>
    <row r="717" spans="1:5" ht="15.75" customHeight="1">
      <c r="A717" s="447" t="s">
        <v>834</v>
      </c>
      <c r="B717" s="449"/>
      <c r="C717" s="449"/>
      <c r="D717" s="449"/>
      <c r="E717" s="449"/>
    </row>
    <row r="718" spans="2:5" s="369" customFormat="1" ht="14.25">
      <c r="B718" s="370" t="s">
        <v>818</v>
      </c>
      <c r="C718" s="375">
        <v>169981</v>
      </c>
      <c r="D718" s="375">
        <v>0</v>
      </c>
      <c r="E718" s="375">
        <v>169981</v>
      </c>
    </row>
    <row r="719" spans="2:5" ht="15">
      <c r="B719" s="366" t="s">
        <v>817</v>
      </c>
      <c r="C719" s="374">
        <v>140229</v>
      </c>
      <c r="D719" s="374">
        <v>0</v>
      </c>
      <c r="E719" s="374">
        <v>140229</v>
      </c>
    </row>
    <row r="720" spans="2:5" ht="15">
      <c r="B720" s="366" t="s">
        <v>816</v>
      </c>
      <c r="C720" s="374">
        <v>29405</v>
      </c>
      <c r="D720" s="374">
        <v>0</v>
      </c>
      <c r="E720" s="374">
        <v>29405</v>
      </c>
    </row>
    <row r="721" spans="2:5" ht="30">
      <c r="B721" s="366" t="s">
        <v>811</v>
      </c>
      <c r="C721" s="374">
        <v>347</v>
      </c>
      <c r="D721" s="374">
        <v>0</v>
      </c>
      <c r="E721" s="374">
        <v>347</v>
      </c>
    </row>
    <row r="723" spans="1:5" ht="15.75" customHeight="1">
      <c r="A723" s="447" t="s">
        <v>833</v>
      </c>
      <c r="B723" s="449"/>
      <c r="C723" s="449"/>
      <c r="D723" s="449"/>
      <c r="E723" s="449"/>
    </row>
    <row r="724" spans="2:5" s="369" customFormat="1" ht="14.25">
      <c r="B724" s="370" t="s">
        <v>818</v>
      </c>
      <c r="C724" s="375">
        <v>59863</v>
      </c>
      <c r="D724" s="375">
        <v>0</v>
      </c>
      <c r="E724" s="375">
        <v>59863</v>
      </c>
    </row>
    <row r="725" spans="2:5" ht="15">
      <c r="B725" s="366" t="s">
        <v>817</v>
      </c>
      <c r="C725" s="374">
        <v>38994</v>
      </c>
      <c r="D725" s="374">
        <v>0</v>
      </c>
      <c r="E725" s="374">
        <v>38994</v>
      </c>
    </row>
    <row r="726" spans="2:5" ht="15">
      <c r="B726" s="366" t="s">
        <v>816</v>
      </c>
      <c r="C726" s="374">
        <v>19569</v>
      </c>
      <c r="D726" s="374">
        <v>0</v>
      </c>
      <c r="E726" s="374">
        <v>19569</v>
      </c>
    </row>
    <row r="727" spans="2:5" ht="15">
      <c r="B727" s="366" t="s">
        <v>813</v>
      </c>
      <c r="C727" s="374">
        <v>1300</v>
      </c>
      <c r="D727" s="374">
        <v>0</v>
      </c>
      <c r="E727" s="374">
        <v>1300</v>
      </c>
    </row>
    <row r="729" spans="1:5" ht="15.75" customHeight="1">
      <c r="A729" s="447" t="s">
        <v>832</v>
      </c>
      <c r="B729" s="449"/>
      <c r="C729" s="449"/>
      <c r="D729" s="449"/>
      <c r="E729" s="449"/>
    </row>
    <row r="730" spans="2:5" s="369" customFormat="1" ht="14.25">
      <c r="B730" s="370" t="s">
        <v>818</v>
      </c>
      <c r="C730" s="375">
        <v>367739</v>
      </c>
      <c r="D730" s="375">
        <v>0</v>
      </c>
      <c r="E730" s="375">
        <v>367739</v>
      </c>
    </row>
    <row r="731" spans="2:5" ht="15">
      <c r="B731" s="366" t="s">
        <v>817</v>
      </c>
      <c r="C731" s="374">
        <v>139431</v>
      </c>
      <c r="D731" s="374">
        <v>0</v>
      </c>
      <c r="E731" s="374">
        <v>139431</v>
      </c>
    </row>
    <row r="732" spans="2:5" ht="15">
      <c r="B732" s="366" t="s">
        <v>816</v>
      </c>
      <c r="C732" s="374">
        <v>11519</v>
      </c>
      <c r="D732" s="374">
        <v>0</v>
      </c>
      <c r="E732" s="374">
        <v>11519</v>
      </c>
    </row>
    <row r="733" spans="2:5" ht="15">
      <c r="B733" s="366" t="s">
        <v>813</v>
      </c>
      <c r="C733" s="374">
        <v>2600</v>
      </c>
      <c r="D733" s="374">
        <v>0</v>
      </c>
      <c r="E733" s="374">
        <v>2600</v>
      </c>
    </row>
    <row r="734" spans="2:5" ht="15">
      <c r="B734" s="366" t="s">
        <v>812</v>
      </c>
      <c r="C734" s="374">
        <v>214038</v>
      </c>
      <c r="D734" s="374">
        <v>0</v>
      </c>
      <c r="E734" s="374">
        <v>214038</v>
      </c>
    </row>
    <row r="735" spans="2:5" ht="30">
      <c r="B735" s="366" t="s">
        <v>811</v>
      </c>
      <c r="C735" s="374">
        <v>151</v>
      </c>
      <c r="D735" s="374">
        <v>0</v>
      </c>
      <c r="E735" s="374">
        <v>151</v>
      </c>
    </row>
    <row r="737" spans="1:5" ht="15.75" customHeight="1">
      <c r="A737" s="447" t="s">
        <v>831</v>
      </c>
      <c r="B737" s="449"/>
      <c r="C737" s="449"/>
      <c r="D737" s="449"/>
      <c r="E737" s="449"/>
    </row>
    <row r="738" spans="2:5" s="369" customFormat="1" ht="14.25">
      <c r="B738" s="370" t="s">
        <v>818</v>
      </c>
      <c r="C738" s="375">
        <v>1397557</v>
      </c>
      <c r="D738" s="375">
        <v>0</v>
      </c>
      <c r="E738" s="375">
        <v>1397557</v>
      </c>
    </row>
    <row r="739" spans="2:5" ht="15">
      <c r="B739" s="366" t="s">
        <v>812</v>
      </c>
      <c r="C739" s="374">
        <v>1397557</v>
      </c>
      <c r="D739" s="374">
        <v>0</v>
      </c>
      <c r="E739" s="374">
        <v>1397557</v>
      </c>
    </row>
    <row r="741" spans="1:5" ht="15.75" customHeight="1">
      <c r="A741" s="447" t="s">
        <v>830</v>
      </c>
      <c r="B741" s="449"/>
      <c r="C741" s="449"/>
      <c r="D741" s="449"/>
      <c r="E741" s="449"/>
    </row>
    <row r="742" spans="2:5" s="369" customFormat="1" ht="14.25">
      <c r="B742" s="370" t="s">
        <v>818</v>
      </c>
      <c r="C742" s="375">
        <v>1805479</v>
      </c>
      <c r="D742" s="375">
        <v>0</v>
      </c>
      <c r="E742" s="375">
        <v>1805479</v>
      </c>
    </row>
    <row r="743" spans="2:5" ht="15">
      <c r="B743" s="366" t="s">
        <v>817</v>
      </c>
      <c r="C743" s="374">
        <v>11267</v>
      </c>
      <c r="D743" s="374">
        <v>0</v>
      </c>
      <c r="E743" s="374">
        <v>11267</v>
      </c>
    </row>
    <row r="744" spans="2:5" ht="15">
      <c r="B744" s="366" t="s">
        <v>816</v>
      </c>
      <c r="C744" s="374">
        <v>8616</v>
      </c>
      <c r="D744" s="374">
        <v>0</v>
      </c>
      <c r="E744" s="374">
        <v>8616</v>
      </c>
    </row>
    <row r="745" spans="2:5" ht="15">
      <c r="B745" s="366" t="s">
        <v>812</v>
      </c>
      <c r="C745" s="374">
        <v>1785596</v>
      </c>
      <c r="D745" s="374">
        <v>0</v>
      </c>
      <c r="E745" s="374">
        <v>1785596</v>
      </c>
    </row>
    <row r="747" spans="1:5" ht="15.75" customHeight="1">
      <c r="A747" s="447" t="s">
        <v>829</v>
      </c>
      <c r="B747" s="449"/>
      <c r="C747" s="449"/>
      <c r="D747" s="449"/>
      <c r="E747" s="449"/>
    </row>
    <row r="748" spans="2:5" s="369" customFormat="1" ht="14.25">
      <c r="B748" s="370" t="s">
        <v>818</v>
      </c>
      <c r="C748" s="375">
        <v>1251176</v>
      </c>
      <c r="D748" s="375">
        <v>0</v>
      </c>
      <c r="E748" s="375">
        <v>1251176</v>
      </c>
    </row>
    <row r="749" spans="2:5" ht="15">
      <c r="B749" s="366" t="s">
        <v>816</v>
      </c>
      <c r="C749" s="374">
        <v>4796</v>
      </c>
      <c r="D749" s="374">
        <v>0</v>
      </c>
      <c r="E749" s="374">
        <v>4796</v>
      </c>
    </row>
    <row r="750" spans="2:5" ht="15">
      <c r="B750" s="366" t="s">
        <v>813</v>
      </c>
      <c r="C750" s="374">
        <v>6500</v>
      </c>
      <c r="D750" s="374">
        <v>0</v>
      </c>
      <c r="E750" s="374">
        <v>6500</v>
      </c>
    </row>
    <row r="751" spans="2:5" ht="15">
      <c r="B751" s="366" t="s">
        <v>812</v>
      </c>
      <c r="C751" s="374">
        <v>1239880</v>
      </c>
      <c r="D751" s="374">
        <v>0</v>
      </c>
      <c r="E751" s="374">
        <v>1239880</v>
      </c>
    </row>
    <row r="753" spans="1:5" ht="15.75" customHeight="1">
      <c r="A753" s="447" t="s">
        <v>828</v>
      </c>
      <c r="B753" s="449"/>
      <c r="C753" s="449"/>
      <c r="D753" s="449"/>
      <c r="E753" s="449"/>
    </row>
    <row r="754" spans="2:5" s="369" customFormat="1" ht="14.25">
      <c r="B754" s="370" t="s">
        <v>818</v>
      </c>
      <c r="C754" s="375">
        <v>18793</v>
      </c>
      <c r="D754" s="375">
        <v>0</v>
      </c>
      <c r="E754" s="375">
        <v>18793</v>
      </c>
    </row>
    <row r="755" spans="2:5" ht="15">
      <c r="B755" s="366" t="s">
        <v>816</v>
      </c>
      <c r="C755" s="374">
        <v>3727</v>
      </c>
      <c r="D755" s="374">
        <v>0</v>
      </c>
      <c r="E755" s="374">
        <v>3727</v>
      </c>
    </row>
    <row r="756" spans="2:5" ht="15">
      <c r="B756" s="366" t="s">
        <v>812</v>
      </c>
      <c r="C756" s="374">
        <v>15066</v>
      </c>
      <c r="D756" s="374">
        <v>0</v>
      </c>
      <c r="E756" s="374">
        <v>15066</v>
      </c>
    </row>
    <row r="758" spans="1:5" ht="31.5" customHeight="1">
      <c r="A758" s="447" t="s">
        <v>827</v>
      </c>
      <c r="B758" s="449"/>
      <c r="C758" s="449"/>
      <c r="D758" s="449"/>
      <c r="E758" s="449"/>
    </row>
    <row r="759" spans="2:5" s="369" customFormat="1" ht="14.25">
      <c r="B759" s="370" t="s">
        <v>818</v>
      </c>
      <c r="C759" s="375">
        <v>524709</v>
      </c>
      <c r="D759" s="375">
        <v>0</v>
      </c>
      <c r="E759" s="375">
        <v>524709</v>
      </c>
    </row>
    <row r="760" spans="2:5" ht="15">
      <c r="B760" s="366" t="s">
        <v>812</v>
      </c>
      <c r="C760" s="374">
        <v>524709</v>
      </c>
      <c r="D760" s="374">
        <v>0</v>
      </c>
      <c r="E760" s="374">
        <v>524709</v>
      </c>
    </row>
    <row r="762" spans="1:5" ht="15.75" customHeight="1">
      <c r="A762" s="447" t="s">
        <v>826</v>
      </c>
      <c r="B762" s="449"/>
      <c r="C762" s="449"/>
      <c r="D762" s="449"/>
      <c r="E762" s="449"/>
    </row>
    <row r="763" spans="2:5" s="369" customFormat="1" ht="14.25">
      <c r="B763" s="370" t="s">
        <v>818</v>
      </c>
      <c r="C763" s="375">
        <v>100436</v>
      </c>
      <c r="D763" s="375">
        <v>0</v>
      </c>
      <c r="E763" s="375">
        <v>100436</v>
      </c>
    </row>
    <row r="764" spans="2:5" ht="15">
      <c r="B764" s="366" t="s">
        <v>817</v>
      </c>
      <c r="C764" s="374">
        <v>60124</v>
      </c>
      <c r="D764" s="374">
        <v>0</v>
      </c>
      <c r="E764" s="374">
        <v>60124</v>
      </c>
    </row>
    <row r="765" spans="2:5" ht="15">
      <c r="B765" s="366" t="s">
        <v>816</v>
      </c>
      <c r="C765" s="374">
        <v>39980</v>
      </c>
      <c r="D765" s="374">
        <v>0</v>
      </c>
      <c r="E765" s="374">
        <v>39980</v>
      </c>
    </row>
    <row r="766" spans="2:5" ht="30">
      <c r="B766" s="366" t="s">
        <v>811</v>
      </c>
      <c r="C766" s="374">
        <v>332</v>
      </c>
      <c r="D766" s="374">
        <v>0</v>
      </c>
      <c r="E766" s="374">
        <v>332</v>
      </c>
    </row>
    <row r="767" ht="19.5" customHeight="1"/>
    <row r="768" spans="1:5" ht="15.75" customHeight="1">
      <c r="A768" s="447" t="s">
        <v>825</v>
      </c>
      <c r="B768" s="449"/>
      <c r="C768" s="449"/>
      <c r="D768" s="449"/>
      <c r="E768" s="449"/>
    </row>
    <row r="769" spans="2:5" s="369" customFormat="1" ht="14.25">
      <c r="B769" s="370" t="s">
        <v>818</v>
      </c>
      <c r="C769" s="375">
        <v>18632</v>
      </c>
      <c r="D769" s="375">
        <v>0</v>
      </c>
      <c r="E769" s="375">
        <v>18632</v>
      </c>
    </row>
    <row r="770" spans="2:5" ht="15">
      <c r="B770" s="366" t="s">
        <v>817</v>
      </c>
      <c r="C770" s="374">
        <v>11159</v>
      </c>
      <c r="D770" s="374">
        <v>0</v>
      </c>
      <c r="E770" s="374">
        <v>11159</v>
      </c>
    </row>
    <row r="771" spans="2:5" ht="15">
      <c r="B771" s="366" t="s">
        <v>816</v>
      </c>
      <c r="C771" s="374">
        <v>7473</v>
      </c>
      <c r="D771" s="374">
        <v>0</v>
      </c>
      <c r="E771" s="374">
        <v>7473</v>
      </c>
    </row>
    <row r="773" spans="1:5" ht="15.75" customHeight="1">
      <c r="A773" s="447" t="s">
        <v>824</v>
      </c>
      <c r="B773" s="449"/>
      <c r="C773" s="449"/>
      <c r="D773" s="449"/>
      <c r="E773" s="449"/>
    </row>
    <row r="774" spans="2:5" s="369" customFormat="1" ht="14.25">
      <c r="B774" s="370" t="s">
        <v>818</v>
      </c>
      <c r="C774" s="375">
        <v>380081</v>
      </c>
      <c r="D774" s="375">
        <v>0</v>
      </c>
      <c r="E774" s="375">
        <v>380081</v>
      </c>
    </row>
    <row r="775" spans="2:5" ht="15">
      <c r="B775" s="366" t="s">
        <v>817</v>
      </c>
      <c r="C775" s="374">
        <v>291043</v>
      </c>
      <c r="D775" s="374">
        <v>0</v>
      </c>
      <c r="E775" s="374">
        <v>291043</v>
      </c>
    </row>
    <row r="776" spans="2:5" ht="15">
      <c r="B776" s="366" t="s">
        <v>816</v>
      </c>
      <c r="C776" s="374">
        <v>82991</v>
      </c>
      <c r="D776" s="374">
        <v>0</v>
      </c>
      <c r="E776" s="374">
        <v>82991</v>
      </c>
    </row>
    <row r="777" spans="2:5" ht="15">
      <c r="B777" s="366" t="s">
        <v>813</v>
      </c>
      <c r="C777" s="374">
        <v>5100</v>
      </c>
      <c r="D777" s="374">
        <v>0</v>
      </c>
      <c r="E777" s="374">
        <v>5100</v>
      </c>
    </row>
    <row r="778" spans="2:5" ht="15">
      <c r="B778" s="366" t="s">
        <v>812</v>
      </c>
      <c r="C778" s="374">
        <v>785</v>
      </c>
      <c r="D778" s="374">
        <v>0</v>
      </c>
      <c r="E778" s="374">
        <v>785</v>
      </c>
    </row>
    <row r="779" spans="2:5" ht="30">
      <c r="B779" s="366" t="s">
        <v>811</v>
      </c>
      <c r="C779" s="374">
        <v>162</v>
      </c>
      <c r="D779" s="374">
        <v>0</v>
      </c>
      <c r="E779" s="374">
        <v>162</v>
      </c>
    </row>
    <row r="781" spans="1:5" ht="15.75" customHeight="1">
      <c r="A781" s="447" t="s">
        <v>823</v>
      </c>
      <c r="B781" s="449"/>
      <c r="C781" s="449"/>
      <c r="D781" s="449"/>
      <c r="E781" s="449"/>
    </row>
    <row r="782" spans="2:5" s="369" customFormat="1" ht="14.25">
      <c r="B782" s="370" t="s">
        <v>818</v>
      </c>
      <c r="C782" s="375">
        <v>120935</v>
      </c>
      <c r="D782" s="375">
        <v>0</v>
      </c>
      <c r="E782" s="375">
        <v>120935</v>
      </c>
    </row>
    <row r="783" spans="2:5" ht="15">
      <c r="B783" s="366" t="s">
        <v>817</v>
      </c>
      <c r="C783" s="374">
        <v>97697</v>
      </c>
      <c r="D783" s="374">
        <v>0</v>
      </c>
      <c r="E783" s="374">
        <v>97697</v>
      </c>
    </row>
    <row r="784" spans="2:5" ht="15">
      <c r="B784" s="366" t="s">
        <v>816</v>
      </c>
      <c r="C784" s="374">
        <v>22060</v>
      </c>
      <c r="D784" s="374">
        <v>0</v>
      </c>
      <c r="E784" s="374">
        <v>22060</v>
      </c>
    </row>
    <row r="785" spans="2:5" ht="15">
      <c r="B785" s="366" t="s">
        <v>813</v>
      </c>
      <c r="C785" s="374">
        <v>1000</v>
      </c>
      <c r="D785" s="374">
        <v>0</v>
      </c>
      <c r="E785" s="374">
        <v>1000</v>
      </c>
    </row>
    <row r="786" spans="2:5" ht="30">
      <c r="B786" s="366" t="s">
        <v>811</v>
      </c>
      <c r="C786" s="374">
        <v>178</v>
      </c>
      <c r="D786" s="374">
        <v>0</v>
      </c>
      <c r="E786" s="374">
        <v>178</v>
      </c>
    </row>
    <row r="788" spans="1:5" ht="15.75" customHeight="1">
      <c r="A788" s="447" t="s">
        <v>822</v>
      </c>
      <c r="B788" s="449"/>
      <c r="C788" s="449"/>
      <c r="D788" s="449"/>
      <c r="E788" s="449"/>
    </row>
    <row r="789" spans="2:5" s="369" customFormat="1" ht="14.25">
      <c r="B789" s="370" t="s">
        <v>818</v>
      </c>
      <c r="C789" s="375">
        <v>1736843</v>
      </c>
      <c r="D789" s="375">
        <v>0</v>
      </c>
      <c r="E789" s="375">
        <v>1736843</v>
      </c>
    </row>
    <row r="790" spans="2:5" ht="15">
      <c r="B790" s="366" t="s">
        <v>817</v>
      </c>
      <c r="C790" s="374">
        <v>1507507</v>
      </c>
      <c r="D790" s="374">
        <v>0</v>
      </c>
      <c r="E790" s="374">
        <v>1507507</v>
      </c>
    </row>
    <row r="791" spans="2:5" ht="15">
      <c r="B791" s="366" t="s">
        <v>816</v>
      </c>
      <c r="C791" s="374">
        <v>214212</v>
      </c>
      <c r="D791" s="374">
        <v>0</v>
      </c>
      <c r="E791" s="374">
        <v>214212</v>
      </c>
    </row>
    <row r="792" spans="2:5" ht="15">
      <c r="B792" s="366" t="s">
        <v>813</v>
      </c>
      <c r="C792" s="374">
        <v>12400</v>
      </c>
      <c r="D792" s="374">
        <v>0</v>
      </c>
      <c r="E792" s="374">
        <v>12400</v>
      </c>
    </row>
    <row r="793" spans="2:5" ht="30">
      <c r="B793" s="366" t="s">
        <v>811</v>
      </c>
      <c r="C793" s="374">
        <v>2724</v>
      </c>
      <c r="D793" s="374">
        <v>0</v>
      </c>
      <c r="E793" s="374">
        <v>2724</v>
      </c>
    </row>
    <row r="795" spans="1:5" ht="15.75" customHeight="1">
      <c r="A795" s="447" t="s">
        <v>821</v>
      </c>
      <c r="B795" s="449"/>
      <c r="C795" s="449"/>
      <c r="D795" s="449"/>
      <c r="E795" s="449"/>
    </row>
    <row r="796" spans="2:5" s="369" customFormat="1" ht="14.25">
      <c r="B796" s="370" t="s">
        <v>818</v>
      </c>
      <c r="C796" s="375">
        <v>100613</v>
      </c>
      <c r="D796" s="375">
        <v>0</v>
      </c>
      <c r="E796" s="375">
        <v>100613</v>
      </c>
    </row>
    <row r="797" spans="2:5" ht="15">
      <c r="B797" s="366" t="s">
        <v>812</v>
      </c>
      <c r="C797" s="374">
        <v>100613</v>
      </c>
      <c r="D797" s="374">
        <v>0</v>
      </c>
      <c r="E797" s="374">
        <v>100613</v>
      </c>
    </row>
    <row r="798" ht="21" customHeight="1"/>
    <row r="799" spans="1:5" ht="15.75" customHeight="1">
      <c r="A799" s="445" t="s">
        <v>971</v>
      </c>
      <c r="B799" s="446"/>
      <c r="C799" s="446"/>
      <c r="D799" s="446"/>
      <c r="E799" s="446"/>
    </row>
    <row r="800" spans="1:5" ht="14.25">
      <c r="A800" s="392"/>
      <c r="B800" s="393" t="s">
        <v>818</v>
      </c>
      <c r="C800" s="389">
        <f>5549985+465125-42413</f>
        <v>5972697</v>
      </c>
      <c r="D800" s="389">
        <v>-191765</v>
      </c>
      <c r="E800" s="389">
        <f>5549985+465125-42413-191765</f>
        <v>5780932</v>
      </c>
    </row>
    <row r="801" spans="1:5" ht="31.5" customHeight="1" hidden="1">
      <c r="A801" s="392"/>
      <c r="B801" s="393" t="s">
        <v>811</v>
      </c>
      <c r="C801" s="389">
        <v>0</v>
      </c>
      <c r="D801" s="389">
        <v>0</v>
      </c>
      <c r="E801" s="389">
        <v>0</v>
      </c>
    </row>
    <row r="802" spans="1:5" ht="28.5">
      <c r="A802" s="392"/>
      <c r="B802" s="393" t="s">
        <v>810</v>
      </c>
      <c r="C802" s="389">
        <v>4893582</v>
      </c>
      <c r="D802" s="389">
        <v>0</v>
      </c>
      <c r="E802" s="389">
        <v>4893582</v>
      </c>
    </row>
    <row r="803" spans="1:5" ht="28.5">
      <c r="A803" s="392"/>
      <c r="B803" s="393" t="s">
        <v>809</v>
      </c>
      <c r="C803" s="389">
        <f>379088+465125</f>
        <v>844213</v>
      </c>
      <c r="D803" s="389">
        <v>0</v>
      </c>
      <c r="E803" s="389">
        <f>379088+465125</f>
        <v>844213</v>
      </c>
    </row>
    <row r="804" spans="1:5" ht="28.5">
      <c r="A804" s="392"/>
      <c r="B804" s="393" t="s">
        <v>808</v>
      </c>
      <c r="C804" s="389">
        <f>277315-42413</f>
        <v>234902</v>
      </c>
      <c r="D804" s="389">
        <v>-191765</v>
      </c>
      <c r="E804" s="389">
        <f>277315-42413-191765</f>
        <v>43137</v>
      </c>
    </row>
    <row r="806" spans="1:5" ht="15.75" customHeight="1">
      <c r="A806" s="447" t="s">
        <v>820</v>
      </c>
      <c r="B806" s="448"/>
      <c r="C806" s="448"/>
      <c r="D806" s="448"/>
      <c r="E806" s="448"/>
    </row>
    <row r="807" spans="2:5" s="369" customFormat="1" ht="14.25">
      <c r="B807" s="370" t="s">
        <v>818</v>
      </c>
      <c r="C807" s="375">
        <v>4893582</v>
      </c>
      <c r="D807" s="375">
        <v>0</v>
      </c>
      <c r="E807" s="375">
        <v>4893582</v>
      </c>
    </row>
    <row r="808" spans="2:5" ht="15">
      <c r="B808" s="366" t="s">
        <v>810</v>
      </c>
      <c r="C808" s="374">
        <v>4893582</v>
      </c>
      <c r="D808" s="374">
        <v>0</v>
      </c>
      <c r="E808" s="374">
        <v>4893582</v>
      </c>
    </row>
    <row r="810" spans="1:5" ht="15.75" customHeight="1">
      <c r="A810" s="447" t="s">
        <v>819</v>
      </c>
      <c r="B810" s="448"/>
      <c r="C810" s="448"/>
      <c r="D810" s="448"/>
      <c r="E810" s="448"/>
    </row>
    <row r="811" spans="2:5" s="369" customFormat="1" ht="14.25">
      <c r="B811" s="370" t="s">
        <v>818</v>
      </c>
      <c r="C811" s="375">
        <f>379088+465125</f>
        <v>844213</v>
      </c>
      <c r="D811" s="375">
        <v>0</v>
      </c>
      <c r="E811" s="375">
        <f>379088+465125</f>
        <v>844213</v>
      </c>
    </row>
    <row r="812" spans="2:5" ht="30">
      <c r="B812" s="366" t="s">
        <v>809</v>
      </c>
      <c r="C812" s="374">
        <f>379088+465125</f>
        <v>844213</v>
      </c>
      <c r="D812" s="374">
        <v>0</v>
      </c>
      <c r="E812" s="374">
        <f>379088+465125</f>
        <v>844213</v>
      </c>
    </row>
    <row r="814" spans="1:5" ht="15.75" customHeight="1">
      <c r="A814" s="447" t="s">
        <v>785</v>
      </c>
      <c r="B814" s="449"/>
      <c r="C814" s="449"/>
      <c r="D814" s="449"/>
      <c r="E814" s="449"/>
    </row>
    <row r="815" spans="2:5" ht="14.25">
      <c r="B815" s="370" t="s">
        <v>818</v>
      </c>
      <c r="C815" s="390">
        <v>127053401</v>
      </c>
      <c r="D815" s="390">
        <v>1142115</v>
      </c>
      <c r="E815" s="390">
        <v>128195516</v>
      </c>
    </row>
    <row r="816" spans="2:5" ht="14.25">
      <c r="B816" s="370" t="s">
        <v>817</v>
      </c>
      <c r="C816" s="390">
        <v>44675534</v>
      </c>
      <c r="D816" s="390">
        <v>20368</v>
      </c>
      <c r="E816" s="390">
        <v>44695902</v>
      </c>
    </row>
    <row r="817" spans="2:5" ht="14.25">
      <c r="B817" s="370" t="s">
        <v>816</v>
      </c>
      <c r="C817" s="390">
        <v>23579234</v>
      </c>
      <c r="D817" s="390">
        <v>35082</v>
      </c>
      <c r="E817" s="390">
        <v>23614316</v>
      </c>
    </row>
    <row r="818" spans="2:5" ht="14.25">
      <c r="B818" s="370" t="s">
        <v>815</v>
      </c>
      <c r="C818" s="390">
        <v>8459888</v>
      </c>
      <c r="D818" s="390">
        <v>0</v>
      </c>
      <c r="E818" s="390">
        <f>C818</f>
        <v>8459888</v>
      </c>
    </row>
    <row r="819" spans="2:5" ht="14.25">
      <c r="B819" s="370" t="s">
        <v>814</v>
      </c>
      <c r="C819" s="390">
        <v>2086500</v>
      </c>
      <c r="D819" s="390">
        <v>0</v>
      </c>
      <c r="E819" s="390">
        <f>C819</f>
        <v>2086500</v>
      </c>
    </row>
    <row r="820" spans="2:5" ht="14.25">
      <c r="B820" s="370" t="s">
        <v>813</v>
      </c>
      <c r="C820" s="390">
        <v>34168265</v>
      </c>
      <c r="D820" s="390">
        <f>1086665+191765</f>
        <v>1278430</v>
      </c>
      <c r="E820" s="390">
        <f>C820+D820</f>
        <v>35446695</v>
      </c>
    </row>
    <row r="821" spans="2:5" ht="14.25">
      <c r="B821" s="370" t="s">
        <v>812</v>
      </c>
      <c r="C821" s="390">
        <v>6624141</v>
      </c>
      <c r="D821" s="390">
        <v>0</v>
      </c>
      <c r="E821" s="390">
        <v>6624141</v>
      </c>
    </row>
    <row r="822" spans="2:5" ht="31.5" customHeight="1">
      <c r="B822" s="370" t="s">
        <v>811</v>
      </c>
      <c r="C822" s="390">
        <v>1487142</v>
      </c>
      <c r="D822" s="390">
        <v>0</v>
      </c>
      <c r="E822" s="390">
        <v>1487142</v>
      </c>
    </row>
    <row r="823" spans="2:5" ht="28.5">
      <c r="B823" s="370" t="s">
        <v>810</v>
      </c>
      <c r="C823" s="390">
        <v>4893582</v>
      </c>
      <c r="D823" s="390">
        <v>0</v>
      </c>
      <c r="E823" s="390">
        <v>4893582</v>
      </c>
    </row>
    <row r="824" spans="2:5" ht="28.5">
      <c r="B824" s="370" t="s">
        <v>809</v>
      </c>
      <c r="C824" s="390">
        <v>844213</v>
      </c>
      <c r="D824" s="390">
        <v>0</v>
      </c>
      <c r="E824" s="390">
        <v>844213</v>
      </c>
    </row>
    <row r="825" spans="2:5" ht="28.5">
      <c r="B825" s="370" t="s">
        <v>808</v>
      </c>
      <c r="C825" s="390">
        <f>277315-42413</f>
        <v>234902</v>
      </c>
      <c r="D825" s="390">
        <v>-191765</v>
      </c>
      <c r="E825" s="390">
        <f>C825+D825</f>
        <v>43137</v>
      </c>
    </row>
    <row r="826" spans="2:5" ht="12.75">
      <c r="B826" s="369"/>
      <c r="C826" s="376"/>
      <c r="D826" s="376"/>
      <c r="E826" s="377"/>
    </row>
    <row r="828" spans="1:5" ht="12.75">
      <c r="A828" s="444" t="s">
        <v>997</v>
      </c>
      <c r="B828" s="444"/>
      <c r="C828" s="444"/>
      <c r="D828" s="444"/>
      <c r="E828" s="444"/>
    </row>
    <row r="829" spans="1:5" ht="15.75">
      <c r="A829" s="450"/>
      <c r="B829" s="450"/>
      <c r="C829" s="362"/>
      <c r="D829" s="362"/>
      <c r="E829" s="361"/>
    </row>
  </sheetData>
  <sheetProtection/>
  <mergeCells count="151">
    <mergeCell ref="C3:E3"/>
    <mergeCell ref="C4:E4"/>
    <mergeCell ref="A6:E6"/>
    <mergeCell ref="A7:B7"/>
    <mergeCell ref="A9:E9"/>
    <mergeCell ref="A19:E19"/>
    <mergeCell ref="A26:E26"/>
    <mergeCell ref="A30:E30"/>
    <mergeCell ref="A35:E35"/>
    <mergeCell ref="A39:E39"/>
    <mergeCell ref="A45:E45"/>
    <mergeCell ref="A51:E51"/>
    <mergeCell ref="A56:E56"/>
    <mergeCell ref="A60:E60"/>
    <mergeCell ref="A65:E65"/>
    <mergeCell ref="A70:E70"/>
    <mergeCell ref="A77:E77"/>
    <mergeCell ref="A82:E82"/>
    <mergeCell ref="A86:E86"/>
    <mergeCell ref="A91:E91"/>
    <mergeCell ref="A98:E98"/>
    <mergeCell ref="A102:E102"/>
    <mergeCell ref="A106:E106"/>
    <mergeCell ref="A110:E110"/>
    <mergeCell ref="A114:E114"/>
    <mergeCell ref="A119:E119"/>
    <mergeCell ref="A123:E123"/>
    <mergeCell ref="A128:E128"/>
    <mergeCell ref="A132:E132"/>
    <mergeCell ref="A136:E136"/>
    <mergeCell ref="A141:E141"/>
    <mergeCell ref="A146:E146"/>
    <mergeCell ref="A151:E151"/>
    <mergeCell ref="A155:E155"/>
    <mergeCell ref="A161:E161"/>
    <mergeCell ref="A167:E167"/>
    <mergeCell ref="A175:E175"/>
    <mergeCell ref="A179:E179"/>
    <mergeCell ref="A184:E184"/>
    <mergeCell ref="A188:E188"/>
    <mergeCell ref="A192:E192"/>
    <mergeCell ref="A196:E196"/>
    <mergeCell ref="A200:E200"/>
    <mergeCell ref="A204:E204"/>
    <mergeCell ref="A208:E208"/>
    <mergeCell ref="A212:E212"/>
    <mergeCell ref="A216:E216"/>
    <mergeCell ref="A220:E220"/>
    <mergeCell ref="A224:E224"/>
    <mergeCell ref="A228:E228"/>
    <mergeCell ref="A232:E232"/>
    <mergeCell ref="A236:E236"/>
    <mergeCell ref="A240:E240"/>
    <mergeCell ref="A244:E244"/>
    <mergeCell ref="A250:E250"/>
    <mergeCell ref="A256:E256"/>
    <mergeCell ref="A263:E263"/>
    <mergeCell ref="A270:E270"/>
    <mergeCell ref="A276:E276"/>
    <mergeCell ref="A281:E281"/>
    <mergeCell ref="A287:E287"/>
    <mergeCell ref="A292:E292"/>
    <mergeCell ref="A297:E297"/>
    <mergeCell ref="A303:E303"/>
    <mergeCell ref="A309:E309"/>
    <mergeCell ref="A315:E315"/>
    <mergeCell ref="A323:E323"/>
    <mergeCell ref="A329:E329"/>
    <mergeCell ref="A333:E333"/>
    <mergeCell ref="A342:E342"/>
    <mergeCell ref="A346:E346"/>
    <mergeCell ref="A350:E350"/>
    <mergeCell ref="A337:E337"/>
    <mergeCell ref="A355:E355"/>
    <mergeCell ref="A359:E359"/>
    <mergeCell ref="A365:E365"/>
    <mergeCell ref="A372:E372"/>
    <mergeCell ref="A378:E378"/>
    <mergeCell ref="A386:E386"/>
    <mergeCell ref="A392:E392"/>
    <mergeCell ref="A398:E398"/>
    <mergeCell ref="A404:E404"/>
    <mergeCell ref="A410:E410"/>
    <mergeCell ref="A415:E415"/>
    <mergeCell ref="A420:E420"/>
    <mergeCell ref="A426:E426"/>
    <mergeCell ref="A432:E432"/>
    <mergeCell ref="A439:E439"/>
    <mergeCell ref="A446:E446"/>
    <mergeCell ref="A455:E455"/>
    <mergeCell ref="A461:E461"/>
    <mergeCell ref="A468:E468"/>
    <mergeCell ref="A473:E473"/>
    <mergeCell ref="A478:E478"/>
    <mergeCell ref="A485:E485"/>
    <mergeCell ref="A493:E493"/>
    <mergeCell ref="A499:E499"/>
    <mergeCell ref="A505:E505"/>
    <mergeCell ref="A514:E514"/>
    <mergeCell ref="A522:E522"/>
    <mergeCell ref="A529:E529"/>
    <mergeCell ref="A538:E538"/>
    <mergeCell ref="A542:E542"/>
    <mergeCell ref="A549:E549"/>
    <mergeCell ref="A558:E558"/>
    <mergeCell ref="A565:E565"/>
    <mergeCell ref="A572:E572"/>
    <mergeCell ref="A576:E576"/>
    <mergeCell ref="A584:E584"/>
    <mergeCell ref="A589:E589"/>
    <mergeCell ref="A596:E596"/>
    <mergeCell ref="A603:E603"/>
    <mergeCell ref="A608:E608"/>
    <mergeCell ref="A614:E614"/>
    <mergeCell ref="A618:E618"/>
    <mergeCell ref="A624:E624"/>
    <mergeCell ref="A631:E631"/>
    <mergeCell ref="A637:E637"/>
    <mergeCell ref="A642:E642"/>
    <mergeCell ref="A646:E646"/>
    <mergeCell ref="A652:E652"/>
    <mergeCell ref="A658:E658"/>
    <mergeCell ref="A666:E666"/>
    <mergeCell ref="A670:E670"/>
    <mergeCell ref="A674:E674"/>
    <mergeCell ref="A678:E678"/>
    <mergeCell ref="A682:E682"/>
    <mergeCell ref="A690:E690"/>
    <mergeCell ref="A697:E697"/>
    <mergeCell ref="A704:E704"/>
    <mergeCell ref="A710:E710"/>
    <mergeCell ref="A717:E717"/>
    <mergeCell ref="A723:E723"/>
    <mergeCell ref="A729:E729"/>
    <mergeCell ref="A737:E737"/>
    <mergeCell ref="A741:E741"/>
    <mergeCell ref="A747:E747"/>
    <mergeCell ref="A753:E753"/>
    <mergeCell ref="A758:E758"/>
    <mergeCell ref="A762:E762"/>
    <mergeCell ref="A768:E768"/>
    <mergeCell ref="A773:E773"/>
    <mergeCell ref="A781:E781"/>
    <mergeCell ref="A788:E788"/>
    <mergeCell ref="A795:E795"/>
    <mergeCell ref="A828:E828"/>
    <mergeCell ref="A799:E799"/>
    <mergeCell ref="A806:E806"/>
    <mergeCell ref="A810:E810"/>
    <mergeCell ref="A814:E814"/>
    <mergeCell ref="A829:B829"/>
  </mergeCells>
  <printOptions/>
  <pageMargins left="0.7874015748031497" right="0.7874015748031497" top="0.7874015748031497" bottom="0.7874015748031497" header="0.1968503937007874" footer="0.1968503937007874"/>
  <pageSetup fitToHeight="0" fitToWidth="1" horizontalDpi="600" verticalDpi="600" orientation="portrait" pageOrder="overThenDown" paperSize="9" scale="84" r:id="rId1"/>
  <headerFooter>
    <oddFooter>&amp;C&amp;P</oddFooter>
  </headerFooter>
  <rowBreaks count="11" manualBreakCount="11">
    <brk id="50" max="255" man="1"/>
    <brk id="105" max="255" man="1"/>
    <brk id="154" max="255" man="1"/>
    <brk id="203" max="255" man="1"/>
    <brk id="255" max="255" man="1"/>
    <brk id="308" max="255" man="1"/>
    <brk id="364" max="255" man="1"/>
    <brk id="431" max="255" man="1"/>
    <brk id="484" max="255" man="1"/>
    <brk id="641" max="255" man="1"/>
    <brk id="7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269"/>
  <sheetViews>
    <sheetView tabSelected="1" zoomScale="110" zoomScaleNormal="110" zoomScaleSheetLayoutView="80" zoomScalePageLayoutView="0" workbookViewId="0" topLeftCell="A1">
      <pane xSplit="7" ySplit="6" topLeftCell="H7" activePane="bottomRight" state="frozen"/>
      <selection pane="topLeft" activeCell="B87" sqref="B87"/>
      <selection pane="topRight" activeCell="B87" sqref="B87"/>
      <selection pane="bottomLeft" activeCell="B87" sqref="B87"/>
      <selection pane="bottomRight" activeCell="O3" sqref="O3"/>
    </sheetView>
  </sheetViews>
  <sheetFormatPr defaultColWidth="9.140625" defaultRowHeight="15"/>
  <cols>
    <col min="1" max="1" width="3.28125" style="131" customWidth="1"/>
    <col min="2" max="2" width="10.140625" style="147" customWidth="1"/>
    <col min="3" max="3" width="42.140625" style="142" customWidth="1"/>
    <col min="4" max="4" width="4.140625" style="142" customWidth="1"/>
    <col min="5" max="5" width="13.8515625" style="342" customWidth="1"/>
    <col min="6" max="6" width="10.421875" style="275" customWidth="1"/>
    <col min="7" max="7" width="11.00390625" style="275" customWidth="1"/>
    <col min="8" max="9" width="11.140625" style="275" customWidth="1"/>
    <col min="10" max="11" width="10.8515625" style="275" customWidth="1"/>
    <col min="12" max="12" width="11.00390625" style="275" customWidth="1"/>
    <col min="13" max="13" width="12.28125" style="275" customWidth="1"/>
    <col min="14" max="17" width="11.140625" style="275" customWidth="1"/>
    <col min="18" max="23" width="11.7109375" style="275" customWidth="1"/>
    <col min="24" max="24" width="13.140625" style="135" customWidth="1"/>
    <col min="25" max="16384" width="9.140625" style="131" customWidth="1"/>
  </cols>
  <sheetData>
    <row r="1" spans="2:13" ht="15.75">
      <c r="B1" s="132"/>
      <c r="C1" s="133"/>
      <c r="D1" s="133"/>
      <c r="E1" s="291"/>
      <c r="F1" s="271"/>
      <c r="G1" s="271"/>
      <c r="M1" s="134" t="s">
        <v>542</v>
      </c>
    </row>
    <row r="2" spans="2:13" ht="15">
      <c r="B2" s="132"/>
      <c r="C2" s="133"/>
      <c r="D2" s="133"/>
      <c r="E2" s="291"/>
      <c r="F2" s="271"/>
      <c r="G2" s="271"/>
      <c r="M2" s="136" t="s">
        <v>1008</v>
      </c>
    </row>
    <row r="3" spans="2:13" ht="15">
      <c r="B3" s="132"/>
      <c r="C3" s="133"/>
      <c r="D3" s="133"/>
      <c r="E3" s="291"/>
      <c r="F3" s="271"/>
      <c r="G3" s="271"/>
      <c r="M3" s="261" t="s">
        <v>992</v>
      </c>
    </row>
    <row r="4" spans="1:24" ht="18" customHeight="1">
      <c r="A4" s="519" t="s">
        <v>543</v>
      </c>
      <c r="B4" s="519"/>
      <c r="C4" s="519"/>
      <c r="D4" s="519"/>
      <c r="E4" s="519"/>
      <c r="F4" s="519"/>
      <c r="G4" s="519"/>
      <c r="H4" s="292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137"/>
    </row>
    <row r="5" spans="1:24" s="294" customFormat="1" ht="12.75" customHeight="1">
      <c r="A5" s="520" t="s">
        <v>544</v>
      </c>
      <c r="B5" s="522" t="s">
        <v>545</v>
      </c>
      <c r="C5" s="524" t="s">
        <v>546</v>
      </c>
      <c r="D5" s="289"/>
      <c r="E5" s="289" t="s">
        <v>547</v>
      </c>
      <c r="F5" s="289" t="s">
        <v>548</v>
      </c>
      <c r="G5" s="289" t="s">
        <v>549</v>
      </c>
      <c r="H5" s="400"/>
      <c r="I5" s="138"/>
      <c r="J5" s="139">
        <v>0.05</v>
      </c>
      <c r="K5" s="138"/>
      <c r="L5" s="139">
        <v>0.04</v>
      </c>
      <c r="M5" s="138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1" t="s">
        <v>550</v>
      </c>
    </row>
    <row r="6" spans="1:24" s="294" customFormat="1" ht="12.75">
      <c r="A6" s="521"/>
      <c r="B6" s="523"/>
      <c r="C6" s="525"/>
      <c r="D6" s="290"/>
      <c r="E6" s="290" t="s">
        <v>551</v>
      </c>
      <c r="F6" s="290" t="s">
        <v>552</v>
      </c>
      <c r="G6" s="290" t="s">
        <v>553</v>
      </c>
      <c r="H6" s="399">
        <v>2023</v>
      </c>
      <c r="I6" s="290">
        <f aca="true" t="shared" si="0" ref="I6:V6">SUM(H6+1)</f>
        <v>2024</v>
      </c>
      <c r="J6" s="290">
        <f t="shared" si="0"/>
        <v>2025</v>
      </c>
      <c r="K6" s="290">
        <f t="shared" si="0"/>
        <v>2026</v>
      </c>
      <c r="L6" s="290">
        <f t="shared" si="0"/>
        <v>2027</v>
      </c>
      <c r="M6" s="290">
        <f t="shared" si="0"/>
        <v>2028</v>
      </c>
      <c r="N6" s="290">
        <f t="shared" si="0"/>
        <v>2029</v>
      </c>
      <c r="O6" s="290">
        <f t="shared" si="0"/>
        <v>2030</v>
      </c>
      <c r="P6" s="290">
        <f t="shared" si="0"/>
        <v>2031</v>
      </c>
      <c r="Q6" s="290">
        <f t="shared" si="0"/>
        <v>2032</v>
      </c>
      <c r="R6" s="290">
        <f t="shared" si="0"/>
        <v>2033</v>
      </c>
      <c r="S6" s="290">
        <f t="shared" si="0"/>
        <v>2034</v>
      </c>
      <c r="T6" s="290">
        <f t="shared" si="0"/>
        <v>2035</v>
      </c>
      <c r="U6" s="290">
        <f t="shared" si="0"/>
        <v>2036</v>
      </c>
      <c r="V6" s="290">
        <f t="shared" si="0"/>
        <v>2037</v>
      </c>
      <c r="W6" s="143" t="s">
        <v>554</v>
      </c>
      <c r="X6" s="144" t="s">
        <v>555</v>
      </c>
    </row>
    <row r="7" spans="1:24" s="165" customFormat="1" ht="12.75" customHeight="1">
      <c r="A7" s="492">
        <v>1</v>
      </c>
      <c r="B7" s="145" t="s">
        <v>556</v>
      </c>
      <c r="C7" s="526" t="s">
        <v>557</v>
      </c>
      <c r="D7" s="526">
        <v>648</v>
      </c>
      <c r="E7" s="528">
        <v>45201391.5</v>
      </c>
      <c r="F7" s="530" t="s">
        <v>558</v>
      </c>
      <c r="G7" s="252" t="s">
        <v>559</v>
      </c>
      <c r="H7" s="410">
        <v>4178496</v>
      </c>
      <c r="I7" s="254">
        <v>3888532</v>
      </c>
      <c r="J7" s="254">
        <v>3795232</v>
      </c>
      <c r="K7" s="254">
        <v>3470364</v>
      </c>
      <c r="L7" s="254">
        <v>1653540</v>
      </c>
      <c r="M7" s="254">
        <v>1134524</v>
      </c>
      <c r="N7" s="254">
        <v>936532</v>
      </c>
      <c r="O7" s="254">
        <v>747604</v>
      </c>
      <c r="P7" s="254">
        <v>747604</v>
      </c>
      <c r="Q7" s="254">
        <v>747604</v>
      </c>
      <c r="R7" s="254">
        <v>725552</v>
      </c>
      <c r="S7" s="254">
        <v>269152</v>
      </c>
      <c r="T7" s="254"/>
      <c r="U7" s="254"/>
      <c r="V7" s="254"/>
      <c r="W7" s="256"/>
      <c r="X7" s="281">
        <f aca="true" t="shared" si="1" ref="X7:X38">SUM(H7:W7)</f>
        <v>22294736</v>
      </c>
    </row>
    <row r="8" spans="1:24" s="165" customFormat="1" ht="12.75">
      <c r="A8" s="493"/>
      <c r="B8" s="148" t="s">
        <v>560</v>
      </c>
      <c r="C8" s="527"/>
      <c r="D8" s="527"/>
      <c r="E8" s="529"/>
      <c r="F8" s="531"/>
      <c r="G8" s="166">
        <v>0.04296</v>
      </c>
      <c r="H8" s="411">
        <v>463334.97</v>
      </c>
      <c r="I8" s="257">
        <f>623945+201125</f>
        <v>825070</v>
      </c>
      <c r="J8" s="257">
        <v>691880</v>
      </c>
      <c r="K8" s="257">
        <v>502670</v>
      </c>
      <c r="L8" s="257">
        <v>276110</v>
      </c>
      <c r="M8" s="257">
        <v>209960</v>
      </c>
      <c r="N8" s="257">
        <v>163875</v>
      </c>
      <c r="O8" s="257">
        <v>127055</v>
      </c>
      <c r="P8" s="257">
        <v>96310</v>
      </c>
      <c r="Q8" s="257">
        <v>66185</v>
      </c>
      <c r="R8" s="257">
        <v>35860</v>
      </c>
      <c r="S8" s="257">
        <v>10260</v>
      </c>
      <c r="T8" s="257">
        <v>610</v>
      </c>
      <c r="U8" s="257"/>
      <c r="V8" s="257"/>
      <c r="W8" s="258"/>
      <c r="X8" s="151">
        <f t="shared" si="1"/>
        <v>3469179.9699999997</v>
      </c>
    </row>
    <row r="9" spans="1:24" s="165" customFormat="1" ht="12.75" customHeight="1">
      <c r="A9" s="492">
        <v>2</v>
      </c>
      <c r="B9" s="145" t="s">
        <v>556</v>
      </c>
      <c r="C9" s="496" t="s">
        <v>561</v>
      </c>
      <c r="D9" s="496">
        <v>628</v>
      </c>
      <c r="E9" s="528">
        <v>119421</v>
      </c>
      <c r="F9" s="532" t="s">
        <v>562</v>
      </c>
      <c r="G9" s="384" t="s">
        <v>559</v>
      </c>
      <c r="H9" s="299">
        <v>6728</v>
      </c>
      <c r="I9" s="295">
        <v>6728</v>
      </c>
      <c r="J9" s="295">
        <v>6728</v>
      </c>
      <c r="K9" s="295">
        <v>6728</v>
      </c>
      <c r="L9" s="295">
        <v>6728</v>
      </c>
      <c r="M9" s="295">
        <v>6728</v>
      </c>
      <c r="N9" s="295">
        <v>6728</v>
      </c>
      <c r="O9" s="295">
        <v>6728</v>
      </c>
      <c r="P9" s="295">
        <v>6728</v>
      </c>
      <c r="Q9" s="295">
        <v>6728</v>
      </c>
      <c r="R9" s="295">
        <v>6728</v>
      </c>
      <c r="S9" s="295">
        <v>6728</v>
      </c>
      <c r="T9" s="295">
        <v>1682</v>
      </c>
      <c r="U9" s="295"/>
      <c r="V9" s="295"/>
      <c r="W9" s="296"/>
      <c r="X9" s="281">
        <f t="shared" si="1"/>
        <v>82418</v>
      </c>
    </row>
    <row r="10" spans="1:24" s="165" customFormat="1" ht="12.75">
      <c r="A10" s="493"/>
      <c r="B10" s="154" t="s">
        <v>563</v>
      </c>
      <c r="C10" s="485"/>
      <c r="D10" s="485"/>
      <c r="E10" s="529"/>
      <c r="F10" s="533"/>
      <c r="G10" s="166">
        <v>0.0355</v>
      </c>
      <c r="H10" s="405">
        <v>2062.44</v>
      </c>
      <c r="I10" s="297">
        <v>3510</v>
      </c>
      <c r="J10" s="297">
        <v>3445</v>
      </c>
      <c r="K10" s="297">
        <v>3105</v>
      </c>
      <c r="L10" s="297">
        <v>2210</v>
      </c>
      <c r="M10" s="297">
        <v>1945</v>
      </c>
      <c r="N10" s="297">
        <v>1665</v>
      </c>
      <c r="O10" s="297">
        <v>1395</v>
      </c>
      <c r="P10" s="297">
        <v>1120</v>
      </c>
      <c r="Q10" s="297">
        <v>850</v>
      </c>
      <c r="R10" s="297">
        <v>575</v>
      </c>
      <c r="S10" s="297">
        <v>300</v>
      </c>
      <c r="T10" s="297">
        <v>50</v>
      </c>
      <c r="U10" s="297"/>
      <c r="V10" s="297"/>
      <c r="W10" s="298"/>
      <c r="X10" s="151">
        <f t="shared" si="1"/>
        <v>22232.440000000002</v>
      </c>
    </row>
    <row r="11" spans="1:24" s="165" customFormat="1" ht="12.75" customHeight="1">
      <c r="A11" s="492">
        <v>3</v>
      </c>
      <c r="B11" s="145" t="s">
        <v>556</v>
      </c>
      <c r="C11" s="496" t="s">
        <v>564</v>
      </c>
      <c r="D11" s="496">
        <v>629</v>
      </c>
      <c r="E11" s="528">
        <v>463710</v>
      </c>
      <c r="F11" s="530" t="s">
        <v>565</v>
      </c>
      <c r="G11" s="384" t="s">
        <v>559</v>
      </c>
      <c r="H11" s="299">
        <v>25412</v>
      </c>
      <c r="I11" s="300">
        <v>25412</v>
      </c>
      <c r="J11" s="300">
        <v>25412</v>
      </c>
      <c r="K11" s="300">
        <v>25412</v>
      </c>
      <c r="L11" s="300">
        <v>25412</v>
      </c>
      <c r="M11" s="300">
        <v>25412</v>
      </c>
      <c r="N11" s="300">
        <v>25412</v>
      </c>
      <c r="O11" s="300">
        <v>25412</v>
      </c>
      <c r="P11" s="300">
        <v>25412</v>
      </c>
      <c r="Q11" s="300">
        <v>25412</v>
      </c>
      <c r="R11" s="300">
        <v>25412</v>
      </c>
      <c r="S11" s="300">
        <v>25412</v>
      </c>
      <c r="T11" s="300">
        <v>6353</v>
      </c>
      <c r="U11" s="300"/>
      <c r="V11" s="300"/>
      <c r="W11" s="301"/>
      <c r="X11" s="281">
        <f t="shared" si="1"/>
        <v>311297</v>
      </c>
    </row>
    <row r="12" spans="1:24" s="165" customFormat="1" ht="12.75">
      <c r="A12" s="493"/>
      <c r="B12" s="154" t="s">
        <v>566</v>
      </c>
      <c r="C12" s="485"/>
      <c r="D12" s="485"/>
      <c r="E12" s="529"/>
      <c r="F12" s="531"/>
      <c r="G12" s="166">
        <v>0.0355</v>
      </c>
      <c r="H12" s="405">
        <v>7789.96</v>
      </c>
      <c r="I12" s="297">
        <v>13255</v>
      </c>
      <c r="J12" s="297">
        <v>13010</v>
      </c>
      <c r="K12" s="297">
        <v>11720</v>
      </c>
      <c r="L12" s="297">
        <v>8345</v>
      </c>
      <c r="M12" s="297">
        <v>7335</v>
      </c>
      <c r="N12" s="297">
        <v>6285</v>
      </c>
      <c r="O12" s="297">
        <v>5255</v>
      </c>
      <c r="P12" s="297">
        <v>4225</v>
      </c>
      <c r="Q12" s="297">
        <v>3200</v>
      </c>
      <c r="R12" s="297">
        <v>2160</v>
      </c>
      <c r="S12" s="297">
        <v>1130</v>
      </c>
      <c r="T12" s="297">
        <v>170</v>
      </c>
      <c r="U12" s="297"/>
      <c r="V12" s="297"/>
      <c r="W12" s="298"/>
      <c r="X12" s="151">
        <f t="shared" si="1"/>
        <v>83879.95999999999</v>
      </c>
    </row>
    <row r="13" spans="1:24" s="302" customFormat="1" ht="12.75" customHeight="1">
      <c r="A13" s="492">
        <v>4</v>
      </c>
      <c r="B13" s="145" t="s">
        <v>556</v>
      </c>
      <c r="C13" s="496" t="s">
        <v>567</v>
      </c>
      <c r="D13" s="496">
        <v>630</v>
      </c>
      <c r="E13" s="528">
        <v>162998</v>
      </c>
      <c r="F13" s="534" t="s">
        <v>568</v>
      </c>
      <c r="G13" s="384" t="s">
        <v>559</v>
      </c>
      <c r="H13" s="162">
        <v>6976</v>
      </c>
      <c r="I13" s="158">
        <v>6976</v>
      </c>
      <c r="J13" s="158">
        <v>6976</v>
      </c>
      <c r="K13" s="158">
        <v>6976</v>
      </c>
      <c r="L13" s="158">
        <v>6976</v>
      </c>
      <c r="M13" s="158">
        <v>6976</v>
      </c>
      <c r="N13" s="158">
        <v>6976</v>
      </c>
      <c r="O13" s="158">
        <v>6976</v>
      </c>
      <c r="P13" s="158">
        <v>6976</v>
      </c>
      <c r="Q13" s="158">
        <v>6976</v>
      </c>
      <c r="R13" s="158">
        <v>6976</v>
      </c>
      <c r="S13" s="158">
        <v>6976</v>
      </c>
      <c r="T13" s="158">
        <v>3488</v>
      </c>
      <c r="U13" s="158"/>
      <c r="V13" s="158"/>
      <c r="W13" s="159"/>
      <c r="X13" s="281">
        <f t="shared" si="1"/>
        <v>87200</v>
      </c>
    </row>
    <row r="14" spans="1:24" s="165" customFormat="1" ht="12.75">
      <c r="A14" s="493"/>
      <c r="B14" s="154" t="s">
        <v>569</v>
      </c>
      <c r="C14" s="485"/>
      <c r="D14" s="485"/>
      <c r="E14" s="529"/>
      <c r="F14" s="535"/>
      <c r="G14" s="166">
        <v>0.04057</v>
      </c>
      <c r="H14" s="406">
        <v>1687.33</v>
      </c>
      <c r="I14" s="160">
        <v>3640</v>
      </c>
      <c r="J14" s="160">
        <v>3660</v>
      </c>
      <c r="K14" s="160">
        <v>3310</v>
      </c>
      <c r="L14" s="160">
        <v>2365</v>
      </c>
      <c r="M14" s="160">
        <v>2085</v>
      </c>
      <c r="N14" s="160">
        <v>1800</v>
      </c>
      <c r="O14" s="160">
        <v>1515</v>
      </c>
      <c r="P14" s="160">
        <v>1230</v>
      </c>
      <c r="Q14" s="160">
        <v>950</v>
      </c>
      <c r="R14" s="160">
        <v>665</v>
      </c>
      <c r="S14" s="160">
        <v>385</v>
      </c>
      <c r="T14" s="160">
        <v>100</v>
      </c>
      <c r="U14" s="160"/>
      <c r="V14" s="160"/>
      <c r="W14" s="161"/>
      <c r="X14" s="151">
        <f t="shared" si="1"/>
        <v>23392.33</v>
      </c>
    </row>
    <row r="15" spans="1:24" s="165" customFormat="1" ht="12.75" customHeight="1">
      <c r="A15" s="492">
        <v>5</v>
      </c>
      <c r="B15" s="145" t="s">
        <v>570</v>
      </c>
      <c r="C15" s="496" t="s">
        <v>571</v>
      </c>
      <c r="D15" s="496">
        <v>631</v>
      </c>
      <c r="E15" s="528">
        <f>89504-0.24</f>
        <v>89503.76</v>
      </c>
      <c r="F15" s="530" t="s">
        <v>572</v>
      </c>
      <c r="G15" s="384" t="s">
        <v>559</v>
      </c>
      <c r="H15" s="162">
        <v>5116</v>
      </c>
      <c r="I15" s="163">
        <v>5116</v>
      </c>
      <c r="J15" s="163">
        <v>5116</v>
      </c>
      <c r="K15" s="163">
        <v>5116</v>
      </c>
      <c r="L15" s="163">
        <v>5116</v>
      </c>
      <c r="M15" s="163">
        <v>5116</v>
      </c>
      <c r="N15" s="163">
        <v>5116</v>
      </c>
      <c r="O15" s="163">
        <v>5116</v>
      </c>
      <c r="P15" s="163">
        <v>5116</v>
      </c>
      <c r="Q15" s="163">
        <v>5116</v>
      </c>
      <c r="R15" s="163">
        <f>5116</f>
        <v>5116</v>
      </c>
      <c r="S15" s="163">
        <v>5116</v>
      </c>
      <c r="T15" s="163">
        <v>2557.76</v>
      </c>
      <c r="U15" s="163"/>
      <c r="V15" s="163"/>
      <c r="W15" s="164"/>
      <c r="X15" s="281">
        <f t="shared" si="1"/>
        <v>63949.76</v>
      </c>
    </row>
    <row r="16" spans="1:24" s="165" customFormat="1" ht="12.75">
      <c r="A16" s="493"/>
      <c r="B16" s="154" t="s">
        <v>573</v>
      </c>
      <c r="C16" s="485"/>
      <c r="D16" s="485"/>
      <c r="E16" s="529"/>
      <c r="F16" s="531"/>
      <c r="G16" s="166">
        <v>0.04194</v>
      </c>
      <c r="H16" s="406">
        <v>1468.65</v>
      </c>
      <c r="I16" s="160">
        <v>2710</v>
      </c>
      <c r="J16" s="160">
        <v>2685</v>
      </c>
      <c r="K16" s="160">
        <v>2425</v>
      </c>
      <c r="L16" s="160">
        <v>1735</v>
      </c>
      <c r="M16" s="160">
        <v>1530</v>
      </c>
      <c r="N16" s="160">
        <v>1320</v>
      </c>
      <c r="O16" s="160">
        <v>1110</v>
      </c>
      <c r="P16" s="160">
        <v>905</v>
      </c>
      <c r="Q16" s="160">
        <v>700</v>
      </c>
      <c r="R16" s="160">
        <v>490</v>
      </c>
      <c r="S16" s="160">
        <v>280</v>
      </c>
      <c r="T16" s="160">
        <v>75</v>
      </c>
      <c r="U16" s="160"/>
      <c r="V16" s="160"/>
      <c r="W16" s="161"/>
      <c r="X16" s="151">
        <f t="shared" si="1"/>
        <v>17433.65</v>
      </c>
    </row>
    <row r="17" spans="1:24" s="165" customFormat="1" ht="12.75" customHeight="1">
      <c r="A17" s="492">
        <v>6</v>
      </c>
      <c r="B17" s="145" t="s">
        <v>556</v>
      </c>
      <c r="C17" s="496" t="s">
        <v>574</v>
      </c>
      <c r="D17" s="496">
        <v>632</v>
      </c>
      <c r="E17" s="528">
        <v>1331708.19</v>
      </c>
      <c r="F17" s="536" t="s">
        <v>575</v>
      </c>
      <c r="G17" s="384" t="s">
        <v>559</v>
      </c>
      <c r="H17" s="299">
        <v>20000</v>
      </c>
      <c r="I17" s="295">
        <v>20000</v>
      </c>
      <c r="J17" s="295">
        <v>20000</v>
      </c>
      <c r="K17" s="295">
        <v>50000</v>
      </c>
      <c r="L17" s="295">
        <v>79000</v>
      </c>
      <c r="M17" s="295">
        <v>79000</v>
      </c>
      <c r="N17" s="295">
        <v>79000</v>
      </c>
      <c r="O17" s="295">
        <v>79000</v>
      </c>
      <c r="P17" s="295">
        <v>79000</v>
      </c>
      <c r="Q17" s="300">
        <v>79000</v>
      </c>
      <c r="R17" s="300">
        <f>79000</f>
        <v>79000</v>
      </c>
      <c r="S17" s="300">
        <v>79000</v>
      </c>
      <c r="T17" s="300">
        <v>59250</v>
      </c>
      <c r="U17" s="300"/>
      <c r="V17" s="300"/>
      <c r="W17" s="301"/>
      <c r="X17" s="281">
        <f t="shared" si="1"/>
        <v>801250</v>
      </c>
    </row>
    <row r="18" spans="1:24" s="165" customFormat="1" ht="12.75">
      <c r="A18" s="493"/>
      <c r="B18" s="154" t="s">
        <v>576</v>
      </c>
      <c r="C18" s="485"/>
      <c r="D18" s="485"/>
      <c r="E18" s="529"/>
      <c r="F18" s="537"/>
      <c r="G18" s="166">
        <v>0.02875</v>
      </c>
      <c r="H18" s="405">
        <v>23300</v>
      </c>
      <c r="I18" s="297">
        <v>39560</v>
      </c>
      <c r="J18" s="297">
        <v>38435</v>
      </c>
      <c r="K18" s="297">
        <v>37105</v>
      </c>
      <c r="L18" s="297">
        <v>27475</v>
      </c>
      <c r="M18" s="297">
        <v>24405</v>
      </c>
      <c r="N18" s="297">
        <v>21135</v>
      </c>
      <c r="O18" s="297">
        <v>17930</v>
      </c>
      <c r="P18" s="297">
        <v>14725</v>
      </c>
      <c r="Q18" s="297">
        <v>11555</v>
      </c>
      <c r="R18" s="297">
        <v>8320</v>
      </c>
      <c r="S18" s="297">
        <v>5115</v>
      </c>
      <c r="T18" s="297">
        <v>1910</v>
      </c>
      <c r="U18" s="297"/>
      <c r="V18" s="297"/>
      <c r="W18" s="298"/>
      <c r="X18" s="151">
        <f t="shared" si="1"/>
        <v>270970</v>
      </c>
    </row>
    <row r="19" spans="1:24" s="165" customFormat="1" ht="12.75" customHeight="1">
      <c r="A19" s="492">
        <v>7</v>
      </c>
      <c r="B19" s="145" t="s">
        <v>556</v>
      </c>
      <c r="C19" s="538" t="s">
        <v>337</v>
      </c>
      <c r="D19" s="496">
        <v>633</v>
      </c>
      <c r="E19" s="539">
        <f>8339124-3412924+1558975</f>
        <v>6485175</v>
      </c>
      <c r="F19" s="536" t="s">
        <v>577</v>
      </c>
      <c r="G19" s="384" t="s">
        <v>559</v>
      </c>
      <c r="H19" s="407">
        <v>5000</v>
      </c>
      <c r="I19" s="303">
        <v>8000</v>
      </c>
      <c r="J19" s="303">
        <v>20000</v>
      </c>
      <c r="K19" s="303">
        <v>60000</v>
      </c>
      <c r="L19" s="303">
        <v>238000</v>
      </c>
      <c r="M19" s="303">
        <v>238000</v>
      </c>
      <c r="N19" s="303">
        <v>304544</v>
      </c>
      <c r="O19" s="303">
        <v>304544</v>
      </c>
      <c r="P19" s="303">
        <v>304544</v>
      </c>
      <c r="Q19" s="303">
        <v>304544</v>
      </c>
      <c r="R19" s="303">
        <v>304544</v>
      </c>
      <c r="S19" s="303">
        <v>304544</v>
      </c>
      <c r="T19" s="303">
        <v>304544</v>
      </c>
      <c r="U19" s="303">
        <v>304544</v>
      </c>
      <c r="V19" s="304">
        <v>304544</v>
      </c>
      <c r="W19" s="305">
        <v>2805974.29</v>
      </c>
      <c r="X19" s="281">
        <f t="shared" si="1"/>
        <v>6115870.29</v>
      </c>
    </row>
    <row r="20" spans="1:24" s="165" customFormat="1" ht="12.75">
      <c r="A20" s="493"/>
      <c r="B20" s="154" t="s">
        <v>578</v>
      </c>
      <c r="C20" s="527"/>
      <c r="D20" s="485"/>
      <c r="E20" s="540"/>
      <c r="F20" s="537"/>
      <c r="G20" s="166">
        <v>0.04189</v>
      </c>
      <c r="H20" s="408">
        <v>122111.68</v>
      </c>
      <c r="I20" s="306">
        <v>285375</v>
      </c>
      <c r="J20" s="306">
        <v>309195</v>
      </c>
      <c r="K20" s="306">
        <v>307790</v>
      </c>
      <c r="L20" s="306">
        <v>242375</v>
      </c>
      <c r="M20" s="306">
        <v>233765</v>
      </c>
      <c r="N20" s="306">
        <v>222905</v>
      </c>
      <c r="O20" s="306">
        <v>210705</v>
      </c>
      <c r="P20" s="306">
        <v>198355</v>
      </c>
      <c r="Q20" s="306">
        <v>186515</v>
      </c>
      <c r="R20" s="306">
        <v>173650</v>
      </c>
      <c r="S20" s="306">
        <v>161300</v>
      </c>
      <c r="T20" s="306">
        <v>148950</v>
      </c>
      <c r="U20" s="306">
        <v>136980</v>
      </c>
      <c r="V20" s="306">
        <v>124245</v>
      </c>
      <c r="W20" s="307">
        <v>564690</v>
      </c>
      <c r="X20" s="151">
        <f t="shared" si="1"/>
        <v>3628906.6799999997</v>
      </c>
    </row>
    <row r="21" spans="1:24" s="165" customFormat="1" ht="12.75" customHeight="1">
      <c r="A21" s="492">
        <v>8</v>
      </c>
      <c r="B21" s="145" t="s">
        <v>556</v>
      </c>
      <c r="C21" s="538" t="s">
        <v>579</v>
      </c>
      <c r="D21" s="496">
        <v>634</v>
      </c>
      <c r="E21" s="528">
        <f>206622-0.62</f>
        <v>206621.38</v>
      </c>
      <c r="F21" s="536" t="s">
        <v>580</v>
      </c>
      <c r="G21" s="384" t="s">
        <v>559</v>
      </c>
      <c r="H21" s="407">
        <v>13640</v>
      </c>
      <c r="I21" s="303">
        <v>13640</v>
      </c>
      <c r="J21" s="303">
        <v>13640</v>
      </c>
      <c r="K21" s="303">
        <v>13640</v>
      </c>
      <c r="L21" s="303">
        <v>13640</v>
      </c>
      <c r="M21" s="303">
        <v>13640</v>
      </c>
      <c r="N21" s="303">
        <v>13640</v>
      </c>
      <c r="O21" s="303">
        <v>13640</v>
      </c>
      <c r="P21" s="303">
        <v>13640</v>
      </c>
      <c r="Q21" s="303">
        <v>13640</v>
      </c>
      <c r="R21" s="303">
        <v>13640</v>
      </c>
      <c r="S21" s="303">
        <v>13640</v>
      </c>
      <c r="T21" s="303">
        <v>13640</v>
      </c>
      <c r="U21" s="304">
        <v>13661.38</v>
      </c>
      <c r="V21" s="304"/>
      <c r="W21" s="305"/>
      <c r="X21" s="281">
        <f t="shared" si="1"/>
        <v>190981.38</v>
      </c>
    </row>
    <row r="22" spans="1:24" s="165" customFormat="1" ht="12.75">
      <c r="A22" s="493"/>
      <c r="B22" s="154" t="s">
        <v>581</v>
      </c>
      <c r="C22" s="527"/>
      <c r="D22" s="485"/>
      <c r="E22" s="529"/>
      <c r="F22" s="537"/>
      <c r="G22" s="166">
        <v>0.04189</v>
      </c>
      <c r="H22" s="408">
        <v>3723.39</v>
      </c>
      <c r="I22" s="306">
        <v>8175</v>
      </c>
      <c r="J22" s="306">
        <v>8195</v>
      </c>
      <c r="K22" s="306">
        <v>7505</v>
      </c>
      <c r="L22" s="306">
        <v>5450</v>
      </c>
      <c r="M22" s="306">
        <v>4910</v>
      </c>
      <c r="N22" s="306">
        <v>4345</v>
      </c>
      <c r="O22" s="306">
        <v>3790</v>
      </c>
      <c r="P22" s="306">
        <v>3235</v>
      </c>
      <c r="Q22" s="306">
        <v>2690</v>
      </c>
      <c r="R22" s="306">
        <v>2130</v>
      </c>
      <c r="S22" s="306">
        <v>1575</v>
      </c>
      <c r="T22" s="306">
        <v>1025</v>
      </c>
      <c r="U22" s="306">
        <v>475</v>
      </c>
      <c r="V22" s="306">
        <v>35</v>
      </c>
      <c r="W22" s="307"/>
      <c r="X22" s="151">
        <f t="shared" si="1"/>
        <v>57258.39</v>
      </c>
    </row>
    <row r="23" spans="1:24" s="165" customFormat="1" ht="12.75" customHeight="1">
      <c r="A23" s="492">
        <v>9</v>
      </c>
      <c r="B23" s="145" t="s">
        <v>556</v>
      </c>
      <c r="C23" s="526" t="s">
        <v>582</v>
      </c>
      <c r="D23" s="496">
        <v>635</v>
      </c>
      <c r="E23" s="528">
        <v>307624.96</v>
      </c>
      <c r="F23" s="530" t="s">
        <v>583</v>
      </c>
      <c r="G23" s="384" t="s">
        <v>559</v>
      </c>
      <c r="H23" s="299">
        <v>5000</v>
      </c>
      <c r="I23" s="295">
        <v>10000</v>
      </c>
      <c r="J23" s="295">
        <v>23824</v>
      </c>
      <c r="K23" s="295">
        <v>23824</v>
      </c>
      <c r="L23" s="295">
        <v>23824</v>
      </c>
      <c r="M23" s="295">
        <v>23824</v>
      </c>
      <c r="N23" s="295">
        <v>23824</v>
      </c>
      <c r="O23" s="295">
        <v>23824</v>
      </c>
      <c r="P23" s="295">
        <v>23824</v>
      </c>
      <c r="Q23" s="300">
        <v>23824</v>
      </c>
      <c r="R23" s="300">
        <f>23824</f>
        <v>23824</v>
      </c>
      <c r="S23" s="300">
        <v>23824</v>
      </c>
      <c r="T23" s="300">
        <v>23824</v>
      </c>
      <c r="U23" s="300">
        <v>23810.96</v>
      </c>
      <c r="V23" s="300"/>
      <c r="W23" s="301"/>
      <c r="X23" s="281">
        <f t="shared" si="1"/>
        <v>300874.96</v>
      </c>
    </row>
    <row r="24" spans="1:24" s="165" customFormat="1" ht="12.75">
      <c r="A24" s="493"/>
      <c r="B24" s="154" t="s">
        <v>584</v>
      </c>
      <c r="C24" s="527"/>
      <c r="D24" s="485"/>
      <c r="E24" s="529"/>
      <c r="F24" s="531"/>
      <c r="G24" s="166">
        <v>0.04369</v>
      </c>
      <c r="H24" s="405">
        <v>6774.21</v>
      </c>
      <c r="I24" s="297">
        <v>14000</v>
      </c>
      <c r="J24" s="297">
        <v>14270</v>
      </c>
      <c r="K24" s="297">
        <v>13100</v>
      </c>
      <c r="L24" s="297">
        <v>9515</v>
      </c>
      <c r="M24" s="297">
        <v>8570</v>
      </c>
      <c r="N24" s="297">
        <v>7580</v>
      </c>
      <c r="O24" s="297">
        <v>6615</v>
      </c>
      <c r="P24" s="297">
        <v>5650</v>
      </c>
      <c r="Q24" s="297">
        <v>4695</v>
      </c>
      <c r="R24" s="297">
        <v>3720</v>
      </c>
      <c r="S24" s="297">
        <v>2750</v>
      </c>
      <c r="T24" s="297">
        <v>1785</v>
      </c>
      <c r="U24" s="297">
        <v>820</v>
      </c>
      <c r="V24" s="297">
        <v>55</v>
      </c>
      <c r="W24" s="298"/>
      <c r="X24" s="151">
        <f t="shared" si="1"/>
        <v>99899.20999999999</v>
      </c>
    </row>
    <row r="25" spans="1:24" s="165" customFormat="1" ht="12.75" customHeight="1">
      <c r="A25" s="492">
        <v>10</v>
      </c>
      <c r="B25" s="145" t="s">
        <v>556</v>
      </c>
      <c r="C25" s="526" t="s">
        <v>585</v>
      </c>
      <c r="D25" s="496">
        <v>636</v>
      </c>
      <c r="E25" s="528">
        <v>69989</v>
      </c>
      <c r="F25" s="530" t="s">
        <v>583</v>
      </c>
      <c r="G25" s="384" t="s">
        <v>559</v>
      </c>
      <c r="H25" s="299">
        <v>2000</v>
      </c>
      <c r="I25" s="295">
        <v>2000</v>
      </c>
      <c r="J25" s="295">
        <v>5000</v>
      </c>
      <c r="K25" s="295">
        <v>5272</v>
      </c>
      <c r="L25" s="295">
        <v>5272</v>
      </c>
      <c r="M25" s="295">
        <v>5272</v>
      </c>
      <c r="N25" s="295">
        <v>5272</v>
      </c>
      <c r="O25" s="295">
        <v>5272</v>
      </c>
      <c r="P25" s="295">
        <v>5272</v>
      </c>
      <c r="Q25" s="295">
        <v>5272</v>
      </c>
      <c r="R25" s="295">
        <v>5272</v>
      </c>
      <c r="S25" s="295">
        <v>5272</v>
      </c>
      <c r="T25" s="295">
        <v>5272</v>
      </c>
      <c r="U25" s="295">
        <v>5269</v>
      </c>
      <c r="V25" s="295"/>
      <c r="W25" s="296"/>
      <c r="X25" s="281">
        <f t="shared" si="1"/>
        <v>66989</v>
      </c>
    </row>
    <row r="26" spans="1:24" s="165" customFormat="1" ht="12.75">
      <c r="A26" s="493"/>
      <c r="B26" s="154" t="s">
        <v>586</v>
      </c>
      <c r="C26" s="527"/>
      <c r="D26" s="485"/>
      <c r="E26" s="529"/>
      <c r="F26" s="531"/>
      <c r="G26" s="166">
        <v>0.04369</v>
      </c>
      <c r="H26" s="405">
        <v>1501.83</v>
      </c>
      <c r="I26" s="297">
        <f>2305+775</f>
        <v>3080</v>
      </c>
      <c r="J26" s="297">
        <v>3150</v>
      </c>
      <c r="K26" s="297">
        <v>2900</v>
      </c>
      <c r="L26" s="297">
        <v>2105</v>
      </c>
      <c r="M26" s="297">
        <v>1900</v>
      </c>
      <c r="N26" s="297">
        <v>1680</v>
      </c>
      <c r="O26" s="297">
        <v>1465</v>
      </c>
      <c r="P26" s="297">
        <v>1250</v>
      </c>
      <c r="Q26" s="297">
        <v>1040</v>
      </c>
      <c r="R26" s="297">
        <v>825</v>
      </c>
      <c r="S26" s="297">
        <v>610</v>
      </c>
      <c r="T26" s="297">
        <v>395</v>
      </c>
      <c r="U26" s="297">
        <v>185</v>
      </c>
      <c r="V26" s="297">
        <v>15</v>
      </c>
      <c r="W26" s="298"/>
      <c r="X26" s="151">
        <f t="shared" si="1"/>
        <v>22101.83</v>
      </c>
    </row>
    <row r="27" spans="1:24" s="165" customFormat="1" ht="12.75" customHeight="1">
      <c r="A27" s="492">
        <v>11</v>
      </c>
      <c r="B27" s="145" t="s">
        <v>556</v>
      </c>
      <c r="C27" s="526" t="s">
        <v>587</v>
      </c>
      <c r="D27" s="526">
        <v>637</v>
      </c>
      <c r="E27" s="528">
        <v>212555.77</v>
      </c>
      <c r="F27" s="530" t="s">
        <v>588</v>
      </c>
      <c r="G27" s="252" t="s">
        <v>559</v>
      </c>
      <c r="H27" s="407">
        <v>2000</v>
      </c>
      <c r="I27" s="303">
        <v>2000</v>
      </c>
      <c r="J27" s="303">
        <v>2000</v>
      </c>
      <c r="K27" s="303">
        <v>5000</v>
      </c>
      <c r="L27" s="303">
        <v>19920</v>
      </c>
      <c r="M27" s="303">
        <v>19920</v>
      </c>
      <c r="N27" s="303">
        <v>19920</v>
      </c>
      <c r="O27" s="303">
        <v>19920</v>
      </c>
      <c r="P27" s="303">
        <v>19920</v>
      </c>
      <c r="Q27" s="304">
        <v>19920</v>
      </c>
      <c r="R27" s="304">
        <v>19920</v>
      </c>
      <c r="S27" s="304">
        <v>19920</v>
      </c>
      <c r="T27" s="304">
        <v>19920</v>
      </c>
      <c r="U27" s="304">
        <v>19525.77</v>
      </c>
      <c r="V27" s="304"/>
      <c r="W27" s="305"/>
      <c r="X27" s="281">
        <f t="shared" si="1"/>
        <v>209805.77</v>
      </c>
    </row>
    <row r="28" spans="1:24" s="165" customFormat="1" ht="12.75">
      <c r="A28" s="493"/>
      <c r="B28" s="154" t="s">
        <v>589</v>
      </c>
      <c r="C28" s="527"/>
      <c r="D28" s="527"/>
      <c r="E28" s="529"/>
      <c r="F28" s="531"/>
      <c r="G28" s="166">
        <v>0.01572</v>
      </c>
      <c r="H28" s="408">
        <v>4900</v>
      </c>
      <c r="I28" s="306">
        <v>10550</v>
      </c>
      <c r="J28" s="306">
        <v>10420</v>
      </c>
      <c r="K28" s="306">
        <v>10285</v>
      </c>
      <c r="L28" s="306">
        <v>7905</v>
      </c>
      <c r="M28" s="306">
        <v>7150</v>
      </c>
      <c r="N28" s="306">
        <v>6325</v>
      </c>
      <c r="O28" s="306">
        <v>5515</v>
      </c>
      <c r="P28" s="306">
        <v>4710</v>
      </c>
      <c r="Q28" s="306">
        <v>3910</v>
      </c>
      <c r="R28" s="306">
        <v>3095</v>
      </c>
      <c r="S28" s="306">
        <v>2285</v>
      </c>
      <c r="T28" s="306">
        <v>1480</v>
      </c>
      <c r="U28" s="306">
        <v>670</v>
      </c>
      <c r="V28" s="306">
        <v>45</v>
      </c>
      <c r="W28" s="307"/>
      <c r="X28" s="151">
        <f t="shared" si="1"/>
        <v>79245</v>
      </c>
    </row>
    <row r="29" spans="1:24" s="165" customFormat="1" ht="18" customHeight="1">
      <c r="A29" s="492">
        <v>12</v>
      </c>
      <c r="B29" s="145" t="s">
        <v>556</v>
      </c>
      <c r="C29" s="526" t="s">
        <v>590</v>
      </c>
      <c r="D29" s="526">
        <v>638</v>
      </c>
      <c r="E29" s="528">
        <v>1496459</v>
      </c>
      <c r="F29" s="536" t="s">
        <v>591</v>
      </c>
      <c r="G29" s="252" t="s">
        <v>559</v>
      </c>
      <c r="H29" s="407">
        <v>5000</v>
      </c>
      <c r="I29" s="303">
        <v>5000</v>
      </c>
      <c r="J29" s="303">
        <v>10000</v>
      </c>
      <c r="K29" s="303">
        <v>20000</v>
      </c>
      <c r="L29" s="303">
        <v>50000</v>
      </c>
      <c r="M29" s="303">
        <v>50000</v>
      </c>
      <c r="N29" s="303">
        <v>50000</v>
      </c>
      <c r="O29" s="303">
        <v>69458</v>
      </c>
      <c r="P29" s="303">
        <v>75944</v>
      </c>
      <c r="Q29" s="304">
        <v>75944</v>
      </c>
      <c r="R29" s="304">
        <f>75944</f>
        <v>75944</v>
      </c>
      <c r="S29" s="304">
        <v>75944</v>
      </c>
      <c r="T29" s="304">
        <v>75944</v>
      </c>
      <c r="U29" s="304">
        <v>75944</v>
      </c>
      <c r="V29" s="304">
        <v>75944</v>
      </c>
      <c r="W29" s="305">
        <v>700643</v>
      </c>
      <c r="X29" s="281">
        <f t="shared" si="1"/>
        <v>1491709</v>
      </c>
    </row>
    <row r="30" spans="1:24" s="165" customFormat="1" ht="14.25" customHeight="1">
      <c r="A30" s="493"/>
      <c r="B30" s="154" t="s">
        <v>592</v>
      </c>
      <c r="C30" s="527"/>
      <c r="D30" s="527"/>
      <c r="E30" s="529"/>
      <c r="F30" s="537"/>
      <c r="G30" s="166">
        <v>0.01732</v>
      </c>
      <c r="H30" s="408">
        <v>31005</v>
      </c>
      <c r="I30" s="306">
        <v>75540</v>
      </c>
      <c r="J30" s="306">
        <v>75025</v>
      </c>
      <c r="K30" s="306">
        <v>74425</v>
      </c>
      <c r="L30" s="306">
        <v>58495</v>
      </c>
      <c r="M30" s="306">
        <v>56695</v>
      </c>
      <c r="N30" s="306">
        <v>54510</v>
      </c>
      <c r="O30" s="306">
        <v>52400</v>
      </c>
      <c r="P30" s="306">
        <v>49500</v>
      </c>
      <c r="Q30" s="306">
        <v>46550</v>
      </c>
      <c r="R30" s="306">
        <v>43345</v>
      </c>
      <c r="S30" s="306">
        <v>40260</v>
      </c>
      <c r="T30" s="306">
        <v>37180</v>
      </c>
      <c r="U30" s="306">
        <v>34195</v>
      </c>
      <c r="V30" s="306">
        <v>31020</v>
      </c>
      <c r="W30" s="307">
        <v>141170</v>
      </c>
      <c r="X30" s="151">
        <f t="shared" si="1"/>
        <v>901315</v>
      </c>
    </row>
    <row r="31" spans="1:24" s="165" customFormat="1" ht="12.75" customHeight="1">
      <c r="A31" s="492">
        <v>13</v>
      </c>
      <c r="B31" s="145" t="s">
        <v>556</v>
      </c>
      <c r="C31" s="526" t="s">
        <v>593</v>
      </c>
      <c r="D31" s="526">
        <v>639</v>
      </c>
      <c r="E31" s="528">
        <v>520249</v>
      </c>
      <c r="F31" s="536" t="s">
        <v>594</v>
      </c>
      <c r="G31" s="252" t="s">
        <v>559</v>
      </c>
      <c r="H31" s="407">
        <v>2000</v>
      </c>
      <c r="I31" s="303">
        <v>5000</v>
      </c>
      <c r="J31" s="303">
        <v>5000</v>
      </c>
      <c r="K31" s="303">
        <v>10000</v>
      </c>
      <c r="L31" s="303">
        <v>45000</v>
      </c>
      <c r="M31" s="303">
        <v>45000</v>
      </c>
      <c r="N31" s="303">
        <v>45000</v>
      </c>
      <c r="O31" s="303">
        <v>45000</v>
      </c>
      <c r="P31" s="303">
        <v>45000</v>
      </c>
      <c r="Q31" s="304">
        <v>45000</v>
      </c>
      <c r="R31" s="304">
        <v>45000</v>
      </c>
      <c r="S31" s="304">
        <v>45000</v>
      </c>
      <c r="T31" s="304">
        <v>45000</v>
      </c>
      <c r="U31" s="304">
        <v>45000</v>
      </c>
      <c r="V31" s="304">
        <v>44949</v>
      </c>
      <c r="W31" s="305"/>
      <c r="X31" s="281">
        <f t="shared" si="1"/>
        <v>516949</v>
      </c>
    </row>
    <row r="32" spans="1:24" s="165" customFormat="1" ht="12.75">
      <c r="A32" s="493"/>
      <c r="B32" s="154" t="s">
        <v>595</v>
      </c>
      <c r="C32" s="527"/>
      <c r="D32" s="527"/>
      <c r="E32" s="529"/>
      <c r="F32" s="537"/>
      <c r="G32" s="166">
        <v>0.01732</v>
      </c>
      <c r="H32" s="408">
        <v>10745</v>
      </c>
      <c r="I32" s="306">
        <v>26130</v>
      </c>
      <c r="J32" s="306">
        <v>25815</v>
      </c>
      <c r="K32" s="306">
        <v>25510</v>
      </c>
      <c r="L32" s="306">
        <v>19715</v>
      </c>
      <c r="M32" s="306">
        <v>18020</v>
      </c>
      <c r="N32" s="306">
        <v>16145</v>
      </c>
      <c r="O32" s="306">
        <v>14320</v>
      </c>
      <c r="P32" s="306">
        <v>12495</v>
      </c>
      <c r="Q32" s="306">
        <v>10700</v>
      </c>
      <c r="R32" s="306">
        <v>8845</v>
      </c>
      <c r="S32" s="306">
        <v>7020</v>
      </c>
      <c r="T32" s="306">
        <v>5195</v>
      </c>
      <c r="U32" s="306">
        <v>3380</v>
      </c>
      <c r="V32" s="306">
        <v>1415</v>
      </c>
      <c r="W32" s="307"/>
      <c r="X32" s="151">
        <f t="shared" si="1"/>
        <v>205450</v>
      </c>
    </row>
    <row r="33" spans="1:24" s="165" customFormat="1" ht="17.25" customHeight="1">
      <c r="A33" s="492">
        <v>14</v>
      </c>
      <c r="B33" s="145" t="s">
        <v>556</v>
      </c>
      <c r="C33" s="526" t="s">
        <v>596</v>
      </c>
      <c r="D33" s="526">
        <v>640</v>
      </c>
      <c r="E33" s="528">
        <f>409900-0.21</f>
        <v>409899.79</v>
      </c>
      <c r="F33" s="536" t="s">
        <v>597</v>
      </c>
      <c r="G33" s="252" t="s">
        <v>559</v>
      </c>
      <c r="H33" s="407">
        <v>2000</v>
      </c>
      <c r="I33" s="303">
        <v>5000</v>
      </c>
      <c r="J33" s="303">
        <v>5000</v>
      </c>
      <c r="K33" s="303">
        <v>10000</v>
      </c>
      <c r="L33" s="303">
        <v>34964</v>
      </c>
      <c r="M33" s="303">
        <v>34964</v>
      </c>
      <c r="N33" s="303">
        <v>34964</v>
      </c>
      <c r="O33" s="303">
        <v>34964</v>
      </c>
      <c r="P33" s="303">
        <v>34964</v>
      </c>
      <c r="Q33" s="304">
        <v>34964</v>
      </c>
      <c r="R33" s="304">
        <v>34964</v>
      </c>
      <c r="S33" s="304">
        <v>34964</v>
      </c>
      <c r="T33" s="304">
        <v>34964</v>
      </c>
      <c r="U33" s="304">
        <v>34964</v>
      </c>
      <c r="V33" s="304">
        <v>34959.79</v>
      </c>
      <c r="W33" s="304"/>
      <c r="X33" s="281">
        <f t="shared" si="1"/>
        <v>406599.79</v>
      </c>
    </row>
    <row r="34" spans="1:24" s="165" customFormat="1" ht="17.25" customHeight="1">
      <c r="A34" s="493"/>
      <c r="B34" s="154" t="s">
        <v>598</v>
      </c>
      <c r="C34" s="527"/>
      <c r="D34" s="527"/>
      <c r="E34" s="529"/>
      <c r="F34" s="537"/>
      <c r="G34" s="166">
        <v>0.02983</v>
      </c>
      <c r="H34" s="408">
        <v>11577</v>
      </c>
      <c r="I34" s="306">
        <v>20520</v>
      </c>
      <c r="J34" s="306">
        <v>20220</v>
      </c>
      <c r="K34" s="306">
        <v>19915</v>
      </c>
      <c r="L34" s="306">
        <v>15325</v>
      </c>
      <c r="M34" s="306">
        <v>14000</v>
      </c>
      <c r="N34" s="306">
        <v>12545</v>
      </c>
      <c r="O34" s="306">
        <v>11130</v>
      </c>
      <c r="P34" s="306">
        <v>9710</v>
      </c>
      <c r="Q34" s="306">
        <v>8315</v>
      </c>
      <c r="R34" s="306">
        <v>6875</v>
      </c>
      <c r="S34" s="306">
        <v>5455</v>
      </c>
      <c r="T34" s="306">
        <v>4040</v>
      </c>
      <c r="U34" s="306">
        <v>2625</v>
      </c>
      <c r="V34" s="306">
        <v>1200</v>
      </c>
      <c r="W34" s="306">
        <v>80</v>
      </c>
      <c r="X34" s="151">
        <f t="shared" si="1"/>
        <v>163532</v>
      </c>
    </row>
    <row r="35" spans="1:24" s="165" customFormat="1" ht="12.75" customHeight="1">
      <c r="A35" s="492">
        <v>15</v>
      </c>
      <c r="B35" s="145" t="s">
        <v>556</v>
      </c>
      <c r="C35" s="496" t="s">
        <v>599</v>
      </c>
      <c r="D35" s="526">
        <v>642</v>
      </c>
      <c r="E35" s="528">
        <f>231313-0.12</f>
        <v>231312.88</v>
      </c>
      <c r="F35" s="536" t="s">
        <v>600</v>
      </c>
      <c r="G35" s="252" t="s">
        <v>559</v>
      </c>
      <c r="H35" s="299">
        <v>14620</v>
      </c>
      <c r="I35" s="295">
        <v>14620</v>
      </c>
      <c r="J35" s="295">
        <v>14620</v>
      </c>
      <c r="K35" s="295">
        <v>14620</v>
      </c>
      <c r="L35" s="254">
        <v>14620</v>
      </c>
      <c r="M35" s="295">
        <v>14620</v>
      </c>
      <c r="N35" s="295">
        <v>14620</v>
      </c>
      <c r="O35" s="295">
        <v>14620</v>
      </c>
      <c r="P35" s="295">
        <v>14620</v>
      </c>
      <c r="Q35" s="295">
        <v>14620</v>
      </c>
      <c r="R35" s="295">
        <f>14620</f>
        <v>14620</v>
      </c>
      <c r="S35" s="295">
        <v>14620</v>
      </c>
      <c r="T35" s="295">
        <v>14620</v>
      </c>
      <c r="U35" s="300">
        <v>14620</v>
      </c>
      <c r="V35" s="300">
        <v>14632.88</v>
      </c>
      <c r="W35" s="301"/>
      <c r="X35" s="281">
        <f t="shared" si="1"/>
        <v>219312.88</v>
      </c>
    </row>
    <row r="36" spans="1:24" s="165" customFormat="1" ht="12.75">
      <c r="A36" s="493"/>
      <c r="B36" s="154" t="s">
        <v>601</v>
      </c>
      <c r="C36" s="485"/>
      <c r="D36" s="527"/>
      <c r="E36" s="529"/>
      <c r="F36" s="537"/>
      <c r="G36" s="166">
        <v>0.04076</v>
      </c>
      <c r="H36" s="405">
        <v>5276.94</v>
      </c>
      <c r="I36" s="297">
        <v>9800</v>
      </c>
      <c r="J36" s="297">
        <v>9525</v>
      </c>
      <c r="K36" s="297">
        <v>8785</v>
      </c>
      <c r="L36" s="257">
        <v>6435</v>
      </c>
      <c r="M36" s="297">
        <v>5855</v>
      </c>
      <c r="N36" s="297">
        <v>5250</v>
      </c>
      <c r="O36" s="297">
        <v>4655</v>
      </c>
      <c r="P36" s="297">
        <v>4060</v>
      </c>
      <c r="Q36" s="297">
        <v>3480</v>
      </c>
      <c r="R36" s="297">
        <v>2875</v>
      </c>
      <c r="S36" s="297">
        <v>2285</v>
      </c>
      <c r="T36" s="297">
        <v>1690</v>
      </c>
      <c r="U36" s="297">
        <v>1100</v>
      </c>
      <c r="V36" s="297">
        <v>505</v>
      </c>
      <c r="W36" s="298">
        <v>35</v>
      </c>
      <c r="X36" s="151">
        <f t="shared" si="1"/>
        <v>71611.94</v>
      </c>
    </row>
    <row r="37" spans="1:24" s="165" customFormat="1" ht="12.75" customHeight="1">
      <c r="A37" s="492">
        <v>16</v>
      </c>
      <c r="B37" s="145" t="s">
        <v>556</v>
      </c>
      <c r="C37" s="526" t="s">
        <v>602</v>
      </c>
      <c r="D37" s="526">
        <v>644</v>
      </c>
      <c r="E37" s="528">
        <f>1188567-257831-28891.82</f>
        <v>901844.18</v>
      </c>
      <c r="F37" s="541" t="s">
        <v>603</v>
      </c>
      <c r="G37" s="252" t="s">
        <v>559</v>
      </c>
      <c r="H37" s="255">
        <v>2000</v>
      </c>
      <c r="I37" s="254">
        <v>6000</v>
      </c>
      <c r="J37" s="254">
        <v>10000</v>
      </c>
      <c r="K37" s="254">
        <v>16000</v>
      </c>
      <c r="L37" s="254">
        <v>36800</v>
      </c>
      <c r="M37" s="254">
        <v>36800</v>
      </c>
      <c r="N37" s="254">
        <v>36800</v>
      </c>
      <c r="O37" s="254">
        <v>36800</v>
      </c>
      <c r="P37" s="254">
        <v>36800</v>
      </c>
      <c r="Q37" s="254">
        <v>36800</v>
      </c>
      <c r="R37" s="254">
        <v>36800</v>
      </c>
      <c r="S37" s="254">
        <v>36800</v>
      </c>
      <c r="T37" s="254">
        <v>36800</v>
      </c>
      <c r="U37" s="254">
        <v>36800</v>
      </c>
      <c r="V37" s="254">
        <v>36800</v>
      </c>
      <c r="W37" s="256">
        <v>377002</v>
      </c>
      <c r="X37" s="281">
        <f t="shared" si="1"/>
        <v>815802</v>
      </c>
    </row>
    <row r="38" spans="1:24" s="165" customFormat="1" ht="15" customHeight="1">
      <c r="A38" s="493"/>
      <c r="B38" s="148" t="s">
        <v>604</v>
      </c>
      <c r="C38" s="527"/>
      <c r="D38" s="527"/>
      <c r="E38" s="529"/>
      <c r="F38" s="542"/>
      <c r="G38" s="166">
        <v>0.04154</v>
      </c>
      <c r="H38" s="409">
        <v>16713.93</v>
      </c>
      <c r="I38" s="257">
        <v>37810</v>
      </c>
      <c r="J38" s="257">
        <v>40865</v>
      </c>
      <c r="K38" s="257">
        <v>40305</v>
      </c>
      <c r="L38" s="257">
        <v>31430</v>
      </c>
      <c r="M38" s="257">
        <v>30070</v>
      </c>
      <c r="N38" s="257">
        <v>28495</v>
      </c>
      <c r="O38" s="257">
        <v>27000</v>
      </c>
      <c r="P38" s="257">
        <v>25510</v>
      </c>
      <c r="Q38" s="257">
        <v>24085</v>
      </c>
      <c r="R38" s="257">
        <v>22525</v>
      </c>
      <c r="S38" s="257">
        <v>21030</v>
      </c>
      <c r="T38" s="257">
        <v>19540</v>
      </c>
      <c r="U38" s="257">
        <v>18095</v>
      </c>
      <c r="V38" s="257">
        <v>16555</v>
      </c>
      <c r="W38" s="258">
        <v>83740</v>
      </c>
      <c r="X38" s="151">
        <f t="shared" si="1"/>
        <v>483768.93</v>
      </c>
    </row>
    <row r="39" spans="1:24" s="165" customFormat="1" ht="12.75" customHeight="1">
      <c r="A39" s="492">
        <v>17</v>
      </c>
      <c r="B39" s="145" t="s">
        <v>556</v>
      </c>
      <c r="C39" s="526" t="s">
        <v>605</v>
      </c>
      <c r="D39" s="526">
        <v>645</v>
      </c>
      <c r="E39" s="528">
        <v>785535</v>
      </c>
      <c r="F39" s="541" t="s">
        <v>606</v>
      </c>
      <c r="G39" s="252" t="s">
        <v>559</v>
      </c>
      <c r="H39" s="255">
        <v>4000</v>
      </c>
      <c r="I39" s="254">
        <v>6000</v>
      </c>
      <c r="J39" s="254">
        <v>10000</v>
      </c>
      <c r="K39" s="254">
        <v>20000</v>
      </c>
      <c r="L39" s="254">
        <v>66200</v>
      </c>
      <c r="M39" s="254">
        <v>66200</v>
      </c>
      <c r="N39" s="254">
        <v>66200</v>
      </c>
      <c r="O39" s="254">
        <v>66200</v>
      </c>
      <c r="P39" s="254">
        <v>66200</v>
      </c>
      <c r="Q39" s="254">
        <v>66200</v>
      </c>
      <c r="R39" s="254">
        <v>66200</v>
      </c>
      <c r="S39" s="254">
        <v>66200</v>
      </c>
      <c r="T39" s="254">
        <v>66200</v>
      </c>
      <c r="U39" s="254">
        <v>66200</v>
      </c>
      <c r="V39" s="254">
        <v>66200</v>
      </c>
      <c r="W39" s="256">
        <v>14960</v>
      </c>
      <c r="X39" s="281">
        <f aca="true" t="shared" si="2" ref="X39:X70">SUM(H39:W39)</f>
        <v>783160</v>
      </c>
    </row>
    <row r="40" spans="1:24" s="165" customFormat="1" ht="12.75">
      <c r="A40" s="493"/>
      <c r="B40" s="148" t="s">
        <v>607</v>
      </c>
      <c r="C40" s="527"/>
      <c r="D40" s="527"/>
      <c r="E40" s="529"/>
      <c r="F40" s="542"/>
      <c r="G40" s="166">
        <v>0.04369</v>
      </c>
      <c r="H40" s="409">
        <v>17455.13</v>
      </c>
      <c r="I40" s="257">
        <v>35815</v>
      </c>
      <c r="J40" s="257">
        <v>39110</v>
      </c>
      <c r="K40" s="257">
        <v>38505</v>
      </c>
      <c r="L40" s="257">
        <v>29710</v>
      </c>
      <c r="M40" s="257">
        <v>27120</v>
      </c>
      <c r="N40" s="257">
        <v>24430</v>
      </c>
      <c r="O40" s="257">
        <v>21740</v>
      </c>
      <c r="P40" s="257">
        <v>19045</v>
      </c>
      <c r="Q40" s="257">
        <v>16355</v>
      </c>
      <c r="R40" s="257">
        <v>13660</v>
      </c>
      <c r="S40" s="257">
        <v>10970</v>
      </c>
      <c r="T40" s="257">
        <v>8275</v>
      </c>
      <c r="U40" s="257">
        <v>5585</v>
      </c>
      <c r="V40" s="257">
        <v>2890</v>
      </c>
      <c r="W40" s="258">
        <v>440</v>
      </c>
      <c r="X40" s="151">
        <f>SUM(H40:W40)</f>
        <v>311105.13</v>
      </c>
    </row>
    <row r="41" spans="1:24" s="165" customFormat="1" ht="17.25" customHeight="1">
      <c r="A41" s="492">
        <v>18</v>
      </c>
      <c r="B41" s="145" t="s">
        <v>556</v>
      </c>
      <c r="C41" s="526" t="s">
        <v>608</v>
      </c>
      <c r="D41" s="526">
        <v>646</v>
      </c>
      <c r="E41" s="539">
        <f>2223157+31089</f>
        <v>2254246</v>
      </c>
      <c r="F41" s="543" t="s">
        <v>609</v>
      </c>
      <c r="G41" s="252" t="s">
        <v>559</v>
      </c>
      <c r="H41" s="255">
        <v>6000</v>
      </c>
      <c r="I41" s="254">
        <v>10000</v>
      </c>
      <c r="J41" s="254">
        <v>20000</v>
      </c>
      <c r="K41" s="254">
        <v>40000</v>
      </c>
      <c r="L41" s="254">
        <v>102248</v>
      </c>
      <c r="M41" s="254">
        <v>102248</v>
      </c>
      <c r="N41" s="254">
        <v>102248</v>
      </c>
      <c r="O41" s="254">
        <v>102248</v>
      </c>
      <c r="P41" s="254">
        <v>102248</v>
      </c>
      <c r="Q41" s="254">
        <v>102248</v>
      </c>
      <c r="R41" s="254">
        <v>102248</v>
      </c>
      <c r="S41" s="254">
        <v>102248</v>
      </c>
      <c r="T41" s="254">
        <v>102248</v>
      </c>
      <c r="U41" s="254">
        <v>102248</v>
      </c>
      <c r="V41" s="254">
        <v>102248</v>
      </c>
      <c r="W41" s="256">
        <v>1048018</v>
      </c>
      <c r="X41" s="281">
        <f t="shared" si="2"/>
        <v>2248746</v>
      </c>
    </row>
    <row r="42" spans="1:24" s="165" customFormat="1" ht="26.25" customHeight="1">
      <c r="A42" s="493"/>
      <c r="B42" s="148" t="s">
        <v>610</v>
      </c>
      <c r="C42" s="527"/>
      <c r="D42" s="527"/>
      <c r="E42" s="540"/>
      <c r="F42" s="544"/>
      <c r="G42" s="166">
        <v>0.04369</v>
      </c>
      <c r="H42" s="409">
        <v>50156.95</v>
      </c>
      <c r="I42" s="257">
        <v>103150</v>
      </c>
      <c r="J42" s="257">
        <v>113005</v>
      </c>
      <c r="K42" s="257">
        <v>111810</v>
      </c>
      <c r="L42" s="257">
        <v>87340</v>
      </c>
      <c r="M42" s="257">
        <v>83565</v>
      </c>
      <c r="N42" s="257">
        <v>79185</v>
      </c>
      <c r="O42" s="257">
        <v>75040</v>
      </c>
      <c r="P42" s="257">
        <v>70895</v>
      </c>
      <c r="Q42" s="257">
        <v>66930</v>
      </c>
      <c r="R42" s="257">
        <v>62600</v>
      </c>
      <c r="S42" s="257">
        <v>58455</v>
      </c>
      <c r="T42" s="257">
        <v>54305</v>
      </c>
      <c r="U42" s="257">
        <v>50300</v>
      </c>
      <c r="V42" s="257">
        <v>46015</v>
      </c>
      <c r="W42" s="258">
        <v>232895</v>
      </c>
      <c r="X42" s="151">
        <f t="shared" si="2"/>
        <v>1345646.95</v>
      </c>
    </row>
    <row r="43" spans="1:24" s="165" customFormat="1" ht="17.25" customHeight="1">
      <c r="A43" s="492">
        <v>19</v>
      </c>
      <c r="B43" s="145" t="s">
        <v>556</v>
      </c>
      <c r="C43" s="526" t="s">
        <v>227</v>
      </c>
      <c r="D43" s="526">
        <v>647</v>
      </c>
      <c r="E43" s="528">
        <v>1632032</v>
      </c>
      <c r="F43" s="543" t="s">
        <v>609</v>
      </c>
      <c r="G43" s="252" t="s">
        <v>559</v>
      </c>
      <c r="H43" s="255">
        <v>6000</v>
      </c>
      <c r="I43" s="254">
        <v>20000</v>
      </c>
      <c r="J43" s="254">
        <v>40000</v>
      </c>
      <c r="K43" s="254">
        <v>60000</v>
      </c>
      <c r="L43" s="254">
        <v>65168</v>
      </c>
      <c r="M43" s="254">
        <v>65168</v>
      </c>
      <c r="N43" s="254">
        <v>65168</v>
      </c>
      <c r="O43" s="254">
        <v>65168</v>
      </c>
      <c r="P43" s="254">
        <v>65168</v>
      </c>
      <c r="Q43" s="254">
        <v>65168</v>
      </c>
      <c r="R43" s="254">
        <v>65168</v>
      </c>
      <c r="S43" s="254">
        <v>65168</v>
      </c>
      <c r="T43" s="254">
        <v>65168</v>
      </c>
      <c r="U43" s="254">
        <v>65168</v>
      </c>
      <c r="V43" s="254">
        <v>65168</v>
      </c>
      <c r="W43" s="256">
        <v>667953</v>
      </c>
      <c r="X43" s="281">
        <f t="shared" si="2"/>
        <v>1510801</v>
      </c>
    </row>
    <row r="44" spans="1:24" s="165" customFormat="1" ht="15.75" customHeight="1">
      <c r="A44" s="493"/>
      <c r="B44" s="148" t="s">
        <v>611</v>
      </c>
      <c r="C44" s="527"/>
      <c r="D44" s="527"/>
      <c r="E44" s="529"/>
      <c r="F44" s="544"/>
      <c r="G44" s="166">
        <v>0.04369</v>
      </c>
      <c r="H44" s="409">
        <v>33683.26</v>
      </c>
      <c r="I44" s="257">
        <v>69080</v>
      </c>
      <c r="J44" s="257">
        <v>74905</v>
      </c>
      <c r="K44" s="257">
        <v>72720</v>
      </c>
      <c r="L44" s="257">
        <v>55745</v>
      </c>
      <c r="M44" s="257">
        <v>53260</v>
      </c>
      <c r="N44" s="257">
        <v>50470</v>
      </c>
      <c r="O44" s="257">
        <v>47830</v>
      </c>
      <c r="P44" s="257">
        <v>45185</v>
      </c>
      <c r="Q44" s="257">
        <v>42660</v>
      </c>
      <c r="R44" s="257">
        <v>39900</v>
      </c>
      <c r="S44" s="257">
        <v>37255</v>
      </c>
      <c r="T44" s="257">
        <v>34615</v>
      </c>
      <c r="U44" s="257">
        <v>32060</v>
      </c>
      <c r="V44" s="257">
        <v>29325</v>
      </c>
      <c r="W44" s="258">
        <v>148435</v>
      </c>
      <c r="X44" s="151">
        <f t="shared" si="2"/>
        <v>867128.26</v>
      </c>
    </row>
    <row r="45" spans="1:24" s="165" customFormat="1" ht="18" customHeight="1">
      <c r="A45" s="492">
        <v>20</v>
      </c>
      <c r="B45" s="145" t="s">
        <v>556</v>
      </c>
      <c r="C45" s="526" t="s">
        <v>612</v>
      </c>
      <c r="D45" s="526">
        <v>649</v>
      </c>
      <c r="E45" s="539">
        <f>1181972+164205</f>
        <v>1346177</v>
      </c>
      <c r="F45" s="543" t="s">
        <v>613</v>
      </c>
      <c r="G45" s="252" t="s">
        <v>559</v>
      </c>
      <c r="H45" s="255">
        <v>6000</v>
      </c>
      <c r="I45" s="254">
        <v>10000</v>
      </c>
      <c r="J45" s="254">
        <v>20000</v>
      </c>
      <c r="K45" s="254">
        <v>40000</v>
      </c>
      <c r="L45" s="254">
        <v>51324</v>
      </c>
      <c r="M45" s="254">
        <v>59336</v>
      </c>
      <c r="N45" s="254">
        <v>59336</v>
      </c>
      <c r="O45" s="254">
        <v>59336</v>
      </c>
      <c r="P45" s="254">
        <v>59336</v>
      </c>
      <c r="Q45" s="254">
        <v>59336</v>
      </c>
      <c r="R45" s="254">
        <v>59336</v>
      </c>
      <c r="S45" s="254">
        <v>59336</v>
      </c>
      <c r="T45" s="254">
        <v>59336</v>
      </c>
      <c r="U45" s="254">
        <v>59336</v>
      </c>
      <c r="V45" s="254">
        <v>59336</v>
      </c>
      <c r="W45" s="256">
        <v>622993</v>
      </c>
      <c r="X45" s="281">
        <f t="shared" si="2"/>
        <v>1343677</v>
      </c>
    </row>
    <row r="46" spans="1:24" s="165" customFormat="1" ht="15.75" customHeight="1">
      <c r="A46" s="493"/>
      <c r="B46" s="148" t="s">
        <v>614</v>
      </c>
      <c r="C46" s="527"/>
      <c r="D46" s="527"/>
      <c r="E46" s="540"/>
      <c r="F46" s="544"/>
      <c r="G46" s="166">
        <v>0.01381</v>
      </c>
      <c r="H46" s="409">
        <v>25350.61</v>
      </c>
      <c r="I46" s="257">
        <v>59765</v>
      </c>
      <c r="J46" s="257">
        <v>67125</v>
      </c>
      <c r="K46" s="257">
        <v>65925</v>
      </c>
      <c r="L46" s="257">
        <v>51065</v>
      </c>
      <c r="M46" s="257">
        <v>49080</v>
      </c>
      <c r="N46" s="257">
        <v>46555</v>
      </c>
      <c r="O46" s="257">
        <v>44150</v>
      </c>
      <c r="P46" s="257">
        <v>41740</v>
      </c>
      <c r="Q46" s="257">
        <v>39445</v>
      </c>
      <c r="R46" s="257">
        <v>36930</v>
      </c>
      <c r="S46" s="257">
        <v>34525</v>
      </c>
      <c r="T46" s="257">
        <v>32115</v>
      </c>
      <c r="U46" s="257">
        <v>29790</v>
      </c>
      <c r="V46" s="257">
        <v>27305</v>
      </c>
      <c r="W46" s="258">
        <v>141595</v>
      </c>
      <c r="X46" s="151">
        <f t="shared" si="2"/>
        <v>792460.61</v>
      </c>
    </row>
    <row r="47" spans="1:24" s="165" customFormat="1" ht="12.75" customHeight="1">
      <c r="A47" s="492">
        <v>21</v>
      </c>
      <c r="B47" s="145" t="s">
        <v>556</v>
      </c>
      <c r="C47" s="526" t="s">
        <v>615</v>
      </c>
      <c r="D47" s="526">
        <v>650</v>
      </c>
      <c r="E47" s="528">
        <f>1108154-97425-61240.54</f>
        <v>949488.46</v>
      </c>
      <c r="F47" s="543" t="s">
        <v>616</v>
      </c>
      <c r="G47" s="252" t="s">
        <v>559</v>
      </c>
      <c r="H47" s="255">
        <v>4000</v>
      </c>
      <c r="I47" s="254">
        <v>10000</v>
      </c>
      <c r="J47" s="254">
        <v>16000</v>
      </c>
      <c r="K47" s="254">
        <v>28000</v>
      </c>
      <c r="L47" s="254">
        <v>35944</v>
      </c>
      <c r="M47" s="254">
        <v>35944</v>
      </c>
      <c r="N47" s="254">
        <v>35944</v>
      </c>
      <c r="O47" s="254">
        <v>35944</v>
      </c>
      <c r="P47" s="254">
        <v>35944</v>
      </c>
      <c r="Q47" s="254">
        <v>35944</v>
      </c>
      <c r="R47" s="254">
        <v>35944</v>
      </c>
      <c r="S47" s="254">
        <v>35944</v>
      </c>
      <c r="T47" s="254">
        <v>35944</v>
      </c>
      <c r="U47" s="254">
        <v>35944</v>
      </c>
      <c r="V47" s="254">
        <v>35944</v>
      </c>
      <c r="W47" s="256">
        <v>368406</v>
      </c>
      <c r="X47" s="281">
        <f t="shared" si="2"/>
        <v>821790</v>
      </c>
    </row>
    <row r="48" spans="1:24" s="165" customFormat="1" ht="12.75">
      <c r="A48" s="493"/>
      <c r="B48" s="148" t="s">
        <v>617</v>
      </c>
      <c r="C48" s="527"/>
      <c r="D48" s="527"/>
      <c r="E48" s="529"/>
      <c r="F48" s="544"/>
      <c r="G48" s="166">
        <v>0.01381</v>
      </c>
      <c r="H48" s="409">
        <v>15503.11</v>
      </c>
      <c r="I48" s="257">
        <v>37330</v>
      </c>
      <c r="J48" s="257">
        <v>40810</v>
      </c>
      <c r="K48" s="257">
        <v>39890</v>
      </c>
      <c r="L48" s="257">
        <v>30735</v>
      </c>
      <c r="M48" s="257">
        <v>29375</v>
      </c>
      <c r="N48" s="257">
        <v>27840</v>
      </c>
      <c r="O48" s="257">
        <v>26380</v>
      </c>
      <c r="P48" s="257">
        <v>24925</v>
      </c>
      <c r="Q48" s="257">
        <v>23530</v>
      </c>
      <c r="R48" s="257">
        <v>22005</v>
      </c>
      <c r="S48" s="257">
        <v>20550</v>
      </c>
      <c r="T48" s="257">
        <v>19090</v>
      </c>
      <c r="U48" s="257">
        <v>17685</v>
      </c>
      <c r="V48" s="257">
        <v>16175</v>
      </c>
      <c r="W48" s="258">
        <v>81870</v>
      </c>
      <c r="X48" s="151">
        <f t="shared" si="2"/>
        <v>473693.11</v>
      </c>
    </row>
    <row r="49" spans="1:24" s="165" customFormat="1" ht="12.75" customHeight="1">
      <c r="A49" s="492">
        <v>22</v>
      </c>
      <c r="B49" s="145" t="s">
        <v>556</v>
      </c>
      <c r="C49" s="526" t="s">
        <v>618</v>
      </c>
      <c r="D49" s="526">
        <v>651</v>
      </c>
      <c r="E49" s="528">
        <f>225000-4003.53</f>
        <v>220996.47</v>
      </c>
      <c r="F49" s="543" t="s">
        <v>619</v>
      </c>
      <c r="G49" s="252" t="s">
        <v>559</v>
      </c>
      <c r="H49" s="255">
        <v>4000</v>
      </c>
      <c r="I49" s="254">
        <v>6000</v>
      </c>
      <c r="J49" s="254">
        <v>8000</v>
      </c>
      <c r="K49" s="254">
        <v>16380</v>
      </c>
      <c r="L49" s="254">
        <v>16380</v>
      </c>
      <c r="M49" s="254">
        <v>16380</v>
      </c>
      <c r="N49" s="254">
        <v>16380</v>
      </c>
      <c r="O49" s="254">
        <v>16380</v>
      </c>
      <c r="P49" s="254">
        <v>16380</v>
      </c>
      <c r="Q49" s="254">
        <v>16380</v>
      </c>
      <c r="R49" s="254">
        <v>16380</v>
      </c>
      <c r="S49" s="254">
        <v>16380</v>
      </c>
      <c r="T49" s="254">
        <v>16380</v>
      </c>
      <c r="U49" s="255">
        <v>16380</v>
      </c>
      <c r="V49" s="255">
        <v>16380</v>
      </c>
      <c r="W49" s="308">
        <v>4061.47</v>
      </c>
      <c r="X49" s="281">
        <f t="shared" si="2"/>
        <v>218621.47</v>
      </c>
    </row>
    <row r="50" spans="1:24" s="165" customFormat="1" ht="12.75">
      <c r="A50" s="493"/>
      <c r="B50" s="148" t="s">
        <v>620</v>
      </c>
      <c r="C50" s="527"/>
      <c r="D50" s="527"/>
      <c r="E50" s="529"/>
      <c r="F50" s="544"/>
      <c r="G50" s="166">
        <v>0.01381</v>
      </c>
      <c r="H50" s="409">
        <v>4108.89</v>
      </c>
      <c r="I50" s="257">
        <v>9775</v>
      </c>
      <c r="J50" s="257">
        <v>10510</v>
      </c>
      <c r="K50" s="257">
        <v>10020</v>
      </c>
      <c r="L50" s="257">
        <v>7370</v>
      </c>
      <c r="M50" s="257">
        <v>6725</v>
      </c>
      <c r="N50" s="257">
        <v>6045</v>
      </c>
      <c r="O50" s="257">
        <v>5380</v>
      </c>
      <c r="P50" s="257">
        <v>4715</v>
      </c>
      <c r="Q50" s="257">
        <v>4060</v>
      </c>
      <c r="R50" s="257">
        <v>3385</v>
      </c>
      <c r="S50" s="257">
        <v>2720</v>
      </c>
      <c r="T50" s="257">
        <v>2060</v>
      </c>
      <c r="U50" s="257">
        <v>1395</v>
      </c>
      <c r="V50" s="257">
        <v>730</v>
      </c>
      <c r="W50" s="258">
        <v>115</v>
      </c>
      <c r="X50" s="151">
        <f t="shared" si="2"/>
        <v>79113.89</v>
      </c>
    </row>
    <row r="51" spans="1:24" s="165" customFormat="1" ht="12.75" customHeight="1">
      <c r="A51" s="492">
        <v>23</v>
      </c>
      <c r="B51" s="145" t="s">
        <v>556</v>
      </c>
      <c r="C51" s="526" t="s">
        <v>621</v>
      </c>
      <c r="D51" s="526">
        <v>652</v>
      </c>
      <c r="E51" s="528">
        <f>888438-1.11</f>
        <v>888436.89</v>
      </c>
      <c r="F51" s="543" t="s">
        <v>622</v>
      </c>
      <c r="G51" s="252" t="s">
        <v>559</v>
      </c>
      <c r="H51" s="255">
        <v>6000</v>
      </c>
      <c r="I51" s="254">
        <v>10000</v>
      </c>
      <c r="J51" s="254">
        <v>20000</v>
      </c>
      <c r="K51" s="254">
        <v>40000</v>
      </c>
      <c r="L51" s="254">
        <v>70384</v>
      </c>
      <c r="M51" s="254">
        <v>70384</v>
      </c>
      <c r="N51" s="254">
        <v>70384</v>
      </c>
      <c r="O51" s="254">
        <v>70384</v>
      </c>
      <c r="P51" s="254">
        <v>70384</v>
      </c>
      <c r="Q51" s="254">
        <v>70384</v>
      </c>
      <c r="R51" s="254">
        <v>70384</v>
      </c>
      <c r="S51" s="254">
        <v>70384</v>
      </c>
      <c r="T51" s="254">
        <v>70384</v>
      </c>
      <c r="U51" s="255">
        <v>70384</v>
      </c>
      <c r="V51" s="255">
        <v>70384</v>
      </c>
      <c r="W51" s="308">
        <v>35212.89</v>
      </c>
      <c r="X51" s="281">
        <f t="shared" si="2"/>
        <v>885436.89</v>
      </c>
    </row>
    <row r="52" spans="1:24" s="165" customFormat="1" ht="12.75">
      <c r="A52" s="545"/>
      <c r="B52" s="167" t="s">
        <v>623</v>
      </c>
      <c r="C52" s="546"/>
      <c r="D52" s="546"/>
      <c r="E52" s="547"/>
      <c r="F52" s="544"/>
      <c r="G52" s="166">
        <v>0.01732</v>
      </c>
      <c r="H52" s="409">
        <v>21770</v>
      </c>
      <c r="I52" s="257">
        <v>40155</v>
      </c>
      <c r="J52" s="257">
        <v>43895</v>
      </c>
      <c r="K52" s="257">
        <v>42695</v>
      </c>
      <c r="L52" s="257">
        <v>32320</v>
      </c>
      <c r="M52" s="257">
        <v>29615</v>
      </c>
      <c r="N52" s="257">
        <v>26680</v>
      </c>
      <c r="O52" s="257">
        <v>23825</v>
      </c>
      <c r="P52" s="257">
        <v>20970</v>
      </c>
      <c r="Q52" s="257">
        <v>18170</v>
      </c>
      <c r="R52" s="257">
        <v>15265</v>
      </c>
      <c r="S52" s="257">
        <v>12410</v>
      </c>
      <c r="T52" s="257">
        <v>9555</v>
      </c>
      <c r="U52" s="257">
        <v>6720</v>
      </c>
      <c r="V52" s="257">
        <v>3845</v>
      </c>
      <c r="W52" s="258">
        <v>1010</v>
      </c>
      <c r="X52" s="277">
        <f t="shared" si="2"/>
        <v>348900</v>
      </c>
    </row>
    <row r="53" spans="1:24" s="280" customFormat="1" ht="17.25" customHeight="1">
      <c r="A53" s="492">
        <v>24</v>
      </c>
      <c r="B53" s="145" t="s">
        <v>556</v>
      </c>
      <c r="C53" s="526" t="s">
        <v>624</v>
      </c>
      <c r="D53" s="526">
        <v>653</v>
      </c>
      <c r="E53" s="528">
        <f>74835+24822-0.26+294955-28536.73</f>
        <v>366075.01</v>
      </c>
      <c r="F53" s="543" t="s">
        <v>625</v>
      </c>
      <c r="G53" s="252" t="s">
        <v>559</v>
      </c>
      <c r="H53" s="255">
        <v>27156</v>
      </c>
      <c r="I53" s="254">
        <v>27156</v>
      </c>
      <c r="J53" s="254">
        <v>27156</v>
      </c>
      <c r="K53" s="254">
        <v>27156</v>
      </c>
      <c r="L53" s="254">
        <v>27156</v>
      </c>
      <c r="M53" s="255">
        <v>13572</v>
      </c>
      <c r="N53" s="254"/>
      <c r="O53" s="254"/>
      <c r="P53" s="254"/>
      <c r="Q53" s="254"/>
      <c r="R53" s="254"/>
      <c r="S53" s="254"/>
      <c r="T53" s="254"/>
      <c r="U53" s="254"/>
      <c r="V53" s="254"/>
      <c r="W53" s="256"/>
      <c r="X53" s="281">
        <f t="shared" si="2"/>
        <v>149352</v>
      </c>
    </row>
    <row r="54" spans="1:24" s="280" customFormat="1" ht="14.25" customHeight="1">
      <c r="A54" s="493"/>
      <c r="B54" s="148" t="s">
        <v>626</v>
      </c>
      <c r="C54" s="527"/>
      <c r="D54" s="527"/>
      <c r="E54" s="529"/>
      <c r="F54" s="544"/>
      <c r="G54" s="166">
        <v>0.01732</v>
      </c>
      <c r="H54" s="409">
        <v>3505</v>
      </c>
      <c r="I54" s="257">
        <v>5400</v>
      </c>
      <c r="J54" s="257">
        <v>4610</v>
      </c>
      <c r="K54" s="257">
        <v>3230</v>
      </c>
      <c r="L54" s="257">
        <v>1485</v>
      </c>
      <c r="M54" s="257">
        <v>390</v>
      </c>
      <c r="N54" s="257"/>
      <c r="O54" s="257"/>
      <c r="P54" s="257"/>
      <c r="Q54" s="257"/>
      <c r="R54" s="257"/>
      <c r="S54" s="257"/>
      <c r="T54" s="257"/>
      <c r="U54" s="257"/>
      <c r="V54" s="257"/>
      <c r="W54" s="258"/>
      <c r="X54" s="151">
        <f t="shared" si="2"/>
        <v>18620</v>
      </c>
    </row>
    <row r="55" spans="1:24" s="165" customFormat="1" ht="12.75" customHeight="1">
      <c r="A55" s="548">
        <v>25</v>
      </c>
      <c r="B55" s="278" t="s">
        <v>556</v>
      </c>
      <c r="C55" s="549" t="s">
        <v>627</v>
      </c>
      <c r="D55" s="549">
        <v>654</v>
      </c>
      <c r="E55" s="550">
        <v>74150</v>
      </c>
      <c r="F55" s="543" t="s">
        <v>628</v>
      </c>
      <c r="G55" s="252" t="s">
        <v>559</v>
      </c>
      <c r="H55" s="255">
        <v>3000</v>
      </c>
      <c r="I55" s="254">
        <v>4380</v>
      </c>
      <c r="J55" s="254">
        <v>4760</v>
      </c>
      <c r="K55" s="254">
        <v>4760</v>
      </c>
      <c r="L55" s="254">
        <v>4760</v>
      </c>
      <c r="M55" s="254">
        <v>4760</v>
      </c>
      <c r="N55" s="254">
        <v>4760</v>
      </c>
      <c r="O55" s="254">
        <v>4760</v>
      </c>
      <c r="P55" s="254">
        <v>4760</v>
      </c>
      <c r="Q55" s="254">
        <v>4760</v>
      </c>
      <c r="R55" s="254">
        <v>4760</v>
      </c>
      <c r="S55" s="254">
        <v>4760</v>
      </c>
      <c r="T55" s="254">
        <v>4760</v>
      </c>
      <c r="U55" s="254">
        <v>4760</v>
      </c>
      <c r="V55" s="254">
        <v>4760</v>
      </c>
      <c r="W55" s="256">
        <v>2390</v>
      </c>
      <c r="X55" s="279">
        <f t="shared" si="2"/>
        <v>71650</v>
      </c>
    </row>
    <row r="56" spans="1:24" s="165" customFormat="1" ht="12.75">
      <c r="A56" s="493"/>
      <c r="B56" s="148" t="s">
        <v>629</v>
      </c>
      <c r="C56" s="527"/>
      <c r="D56" s="527"/>
      <c r="E56" s="529"/>
      <c r="F56" s="544"/>
      <c r="G56" s="166">
        <v>0.01732</v>
      </c>
      <c r="H56" s="409">
        <v>1745</v>
      </c>
      <c r="I56" s="257">
        <v>3110</v>
      </c>
      <c r="J56" s="257">
        <v>3225</v>
      </c>
      <c r="K56" s="257">
        <v>2980</v>
      </c>
      <c r="L56" s="257">
        <v>2195</v>
      </c>
      <c r="M56" s="257">
        <v>2005</v>
      </c>
      <c r="N56" s="257">
        <v>1805</v>
      </c>
      <c r="O56" s="257">
        <v>1615</v>
      </c>
      <c r="P56" s="257">
        <v>1420</v>
      </c>
      <c r="Q56" s="257">
        <v>1230</v>
      </c>
      <c r="R56" s="257">
        <v>1035</v>
      </c>
      <c r="S56" s="257">
        <v>840</v>
      </c>
      <c r="T56" s="257">
        <v>650</v>
      </c>
      <c r="U56" s="257">
        <v>455</v>
      </c>
      <c r="V56" s="257">
        <v>260</v>
      </c>
      <c r="W56" s="258">
        <v>70</v>
      </c>
      <c r="X56" s="151">
        <f t="shared" si="2"/>
        <v>24640</v>
      </c>
    </row>
    <row r="57" spans="1:24" s="165" customFormat="1" ht="16.5" customHeight="1">
      <c r="A57" s="492">
        <v>26</v>
      </c>
      <c r="B57" s="145" t="s">
        <v>556</v>
      </c>
      <c r="C57" s="526" t="s">
        <v>630</v>
      </c>
      <c r="D57" s="526">
        <v>655</v>
      </c>
      <c r="E57" s="528">
        <v>250000</v>
      </c>
      <c r="F57" s="543" t="s">
        <v>631</v>
      </c>
      <c r="G57" s="252" t="s">
        <v>559</v>
      </c>
      <c r="H57" s="255">
        <v>2000</v>
      </c>
      <c r="I57" s="254">
        <v>3000</v>
      </c>
      <c r="J57" s="254">
        <v>6000</v>
      </c>
      <c r="K57" s="254">
        <v>18644</v>
      </c>
      <c r="L57" s="254">
        <v>18644</v>
      </c>
      <c r="M57" s="254">
        <v>18644</v>
      </c>
      <c r="N57" s="254">
        <v>18644</v>
      </c>
      <c r="O57" s="254">
        <v>18644</v>
      </c>
      <c r="P57" s="254">
        <v>18644</v>
      </c>
      <c r="Q57" s="254">
        <v>18644</v>
      </c>
      <c r="R57" s="254">
        <v>18644</v>
      </c>
      <c r="S57" s="254">
        <v>18644</v>
      </c>
      <c r="T57" s="254">
        <v>18644</v>
      </c>
      <c r="U57" s="254">
        <v>18644</v>
      </c>
      <c r="V57" s="254">
        <v>18644</v>
      </c>
      <c r="W57" s="256">
        <v>13972</v>
      </c>
      <c r="X57" s="281">
        <f t="shared" si="2"/>
        <v>248700</v>
      </c>
    </row>
    <row r="58" spans="1:24" s="165" customFormat="1" ht="17.25" customHeight="1">
      <c r="A58" s="493"/>
      <c r="B58" s="148" t="s">
        <v>632</v>
      </c>
      <c r="C58" s="527"/>
      <c r="D58" s="527"/>
      <c r="E58" s="529"/>
      <c r="F58" s="544"/>
      <c r="G58" s="166">
        <v>0.01732</v>
      </c>
      <c r="H58" s="409">
        <v>6115</v>
      </c>
      <c r="I58" s="257">
        <v>11275</v>
      </c>
      <c r="J58" s="257">
        <v>12305</v>
      </c>
      <c r="K58" s="257">
        <v>11870</v>
      </c>
      <c r="L58" s="257">
        <v>8770</v>
      </c>
      <c r="M58" s="257">
        <v>8035</v>
      </c>
      <c r="N58" s="257">
        <v>7260</v>
      </c>
      <c r="O58" s="257">
        <v>6500</v>
      </c>
      <c r="P58" s="257">
        <v>5745</v>
      </c>
      <c r="Q58" s="257">
        <v>5005</v>
      </c>
      <c r="R58" s="257">
        <v>4235</v>
      </c>
      <c r="S58" s="257">
        <v>3475</v>
      </c>
      <c r="T58" s="257">
        <v>2720</v>
      </c>
      <c r="U58" s="257">
        <v>1970</v>
      </c>
      <c r="V58" s="257">
        <v>1210</v>
      </c>
      <c r="W58" s="258">
        <v>450</v>
      </c>
      <c r="X58" s="151">
        <f t="shared" si="2"/>
        <v>96940</v>
      </c>
    </row>
    <row r="59" spans="1:24" s="165" customFormat="1" ht="12.75" customHeight="1">
      <c r="A59" s="492">
        <v>27</v>
      </c>
      <c r="B59" s="145" t="s">
        <v>556</v>
      </c>
      <c r="C59" s="526" t="s">
        <v>633</v>
      </c>
      <c r="D59" s="526">
        <v>656</v>
      </c>
      <c r="E59" s="528">
        <v>4203541</v>
      </c>
      <c r="F59" s="543" t="s">
        <v>634</v>
      </c>
      <c r="G59" s="252" t="s">
        <v>559</v>
      </c>
      <c r="H59" s="304">
        <v>4000</v>
      </c>
      <c r="I59" s="303">
        <v>5000</v>
      </c>
      <c r="J59" s="303">
        <v>10000</v>
      </c>
      <c r="K59" s="303">
        <v>20000</v>
      </c>
      <c r="L59" s="303">
        <v>50000</v>
      </c>
      <c r="M59" s="303">
        <v>62000</v>
      </c>
      <c r="N59" s="303">
        <v>80000</v>
      </c>
      <c r="O59" s="303">
        <v>223540</v>
      </c>
      <c r="P59" s="303">
        <v>223540</v>
      </c>
      <c r="Q59" s="303">
        <v>223540</v>
      </c>
      <c r="R59" s="304">
        <v>223540</v>
      </c>
      <c r="S59" s="304">
        <v>223540</v>
      </c>
      <c r="T59" s="304">
        <v>223540</v>
      </c>
      <c r="U59" s="254">
        <v>223540</v>
      </c>
      <c r="V59" s="254">
        <v>223540</v>
      </c>
      <c r="W59" s="254">
        <v>2179471</v>
      </c>
      <c r="X59" s="281">
        <f t="shared" si="2"/>
        <v>4198791</v>
      </c>
    </row>
    <row r="60" spans="1:24" s="165" customFormat="1" ht="12.75">
      <c r="A60" s="493"/>
      <c r="B60" s="148" t="s">
        <v>635</v>
      </c>
      <c r="C60" s="527"/>
      <c r="D60" s="527"/>
      <c r="E60" s="529"/>
      <c r="F60" s="544"/>
      <c r="G60" s="166">
        <v>0.02929</v>
      </c>
      <c r="H60" s="412">
        <v>119045.14</v>
      </c>
      <c r="I60" s="306">
        <v>213195</v>
      </c>
      <c r="J60" s="306">
        <v>212310</v>
      </c>
      <c r="K60" s="306">
        <v>211710</v>
      </c>
      <c r="L60" s="306">
        <v>168325</v>
      </c>
      <c r="M60" s="306">
        <v>166720</v>
      </c>
      <c r="N60" s="306">
        <v>163620</v>
      </c>
      <c r="O60" s="306">
        <v>159200</v>
      </c>
      <c r="P60" s="306">
        <v>150455</v>
      </c>
      <c r="Q60" s="306">
        <v>141780</v>
      </c>
      <c r="R60" s="306">
        <v>132325</v>
      </c>
      <c r="S60" s="306">
        <v>123260</v>
      </c>
      <c r="T60" s="306">
        <v>114190</v>
      </c>
      <c r="U60" s="257">
        <v>105420</v>
      </c>
      <c r="V60" s="257">
        <v>96060</v>
      </c>
      <c r="W60" s="257">
        <v>462255</v>
      </c>
      <c r="X60" s="151">
        <f t="shared" si="2"/>
        <v>2739870.14</v>
      </c>
    </row>
    <row r="61" spans="1:24" s="165" customFormat="1" ht="17.25" customHeight="1">
      <c r="A61" s="492">
        <v>28</v>
      </c>
      <c r="B61" s="145" t="s">
        <v>556</v>
      </c>
      <c r="C61" s="526" t="s">
        <v>636</v>
      </c>
      <c r="D61" s="526">
        <v>657</v>
      </c>
      <c r="E61" s="539">
        <v>546548</v>
      </c>
      <c r="F61" s="543" t="s">
        <v>637</v>
      </c>
      <c r="G61" s="252" t="s">
        <v>559</v>
      </c>
      <c r="H61" s="255">
        <v>8000</v>
      </c>
      <c r="I61" s="254">
        <v>70472</v>
      </c>
      <c r="J61" s="254">
        <v>70472</v>
      </c>
      <c r="K61" s="254">
        <v>70472</v>
      </c>
      <c r="L61" s="254">
        <v>70472</v>
      </c>
      <c r="M61" s="255">
        <f>52844-5352.46-2293.91-53.55-22.95-1124.47</f>
        <v>43996.66</v>
      </c>
      <c r="N61" s="254"/>
      <c r="O61" s="254"/>
      <c r="P61" s="254"/>
      <c r="Q61" s="254"/>
      <c r="R61" s="303"/>
      <c r="S61" s="303"/>
      <c r="T61" s="303"/>
      <c r="U61" s="304"/>
      <c r="V61" s="304"/>
      <c r="W61" s="305"/>
      <c r="X61" s="281">
        <f t="shared" si="2"/>
        <v>333884.66000000003</v>
      </c>
    </row>
    <row r="62" spans="1:24" s="165" customFormat="1" ht="18" customHeight="1">
      <c r="A62" s="493"/>
      <c r="B62" s="148" t="s">
        <v>638</v>
      </c>
      <c r="C62" s="527"/>
      <c r="D62" s="527"/>
      <c r="E62" s="540"/>
      <c r="F62" s="544"/>
      <c r="G62" s="166">
        <v>0.0313</v>
      </c>
      <c r="H62" s="409">
        <v>8579.1</v>
      </c>
      <c r="I62" s="257">
        <v>14265</v>
      </c>
      <c r="J62" s="257">
        <v>12400</v>
      </c>
      <c r="K62" s="257">
        <v>8825</v>
      </c>
      <c r="L62" s="257">
        <v>4205</v>
      </c>
      <c r="M62" s="257">
        <v>1360</v>
      </c>
      <c r="N62" s="257"/>
      <c r="O62" s="257"/>
      <c r="P62" s="257"/>
      <c r="Q62" s="257"/>
      <c r="R62" s="306"/>
      <c r="S62" s="306"/>
      <c r="T62" s="306"/>
      <c r="U62" s="306"/>
      <c r="V62" s="306"/>
      <c r="W62" s="307"/>
      <c r="X62" s="151">
        <f t="shared" si="2"/>
        <v>49634.1</v>
      </c>
    </row>
    <row r="63" spans="1:24" s="165" customFormat="1" ht="16.5" customHeight="1">
      <c r="A63" s="492">
        <v>29</v>
      </c>
      <c r="B63" s="145" t="s">
        <v>556</v>
      </c>
      <c r="C63" s="526" t="s">
        <v>639</v>
      </c>
      <c r="D63" s="526">
        <v>658</v>
      </c>
      <c r="E63" s="528">
        <f>149917-0.42</f>
        <v>149916.58</v>
      </c>
      <c r="F63" s="543" t="s">
        <v>640</v>
      </c>
      <c r="G63" s="252" t="s">
        <v>559</v>
      </c>
      <c r="H63" s="255">
        <v>1000</v>
      </c>
      <c r="I63" s="254">
        <v>2000</v>
      </c>
      <c r="J63" s="254">
        <v>2000</v>
      </c>
      <c r="K63" s="254">
        <v>11272</v>
      </c>
      <c r="L63" s="254">
        <v>11272</v>
      </c>
      <c r="M63" s="254">
        <v>11272</v>
      </c>
      <c r="N63" s="254">
        <v>11272</v>
      </c>
      <c r="O63" s="254">
        <v>11272</v>
      </c>
      <c r="P63" s="254">
        <v>11272</v>
      </c>
      <c r="Q63" s="254">
        <v>11272</v>
      </c>
      <c r="R63" s="254">
        <v>11272</v>
      </c>
      <c r="S63" s="254">
        <f>11272</f>
        <v>11272</v>
      </c>
      <c r="T63" s="254">
        <v>11272</v>
      </c>
      <c r="U63" s="255">
        <v>11272</v>
      </c>
      <c r="V63" s="255">
        <v>11272</v>
      </c>
      <c r="W63" s="308">
        <v>8452.58</v>
      </c>
      <c r="X63" s="281">
        <f t="shared" si="2"/>
        <v>148716.58</v>
      </c>
    </row>
    <row r="64" spans="1:24" s="165" customFormat="1" ht="15" customHeight="1">
      <c r="A64" s="493"/>
      <c r="B64" s="148" t="s">
        <v>641</v>
      </c>
      <c r="C64" s="527"/>
      <c r="D64" s="527"/>
      <c r="E64" s="529"/>
      <c r="F64" s="544"/>
      <c r="G64" s="166">
        <v>0.03117</v>
      </c>
      <c r="H64" s="409">
        <v>3757.67</v>
      </c>
      <c r="I64" s="257">
        <v>6745</v>
      </c>
      <c r="J64" s="257">
        <v>7375</v>
      </c>
      <c r="K64" s="257">
        <v>7175</v>
      </c>
      <c r="L64" s="257">
        <v>5305</v>
      </c>
      <c r="M64" s="257">
        <v>4860</v>
      </c>
      <c r="N64" s="257">
        <v>4390</v>
      </c>
      <c r="O64" s="257">
        <v>3930</v>
      </c>
      <c r="P64" s="257">
        <v>3475</v>
      </c>
      <c r="Q64" s="257">
        <v>3025</v>
      </c>
      <c r="R64" s="257">
        <v>2560</v>
      </c>
      <c r="S64" s="257">
        <v>2105</v>
      </c>
      <c r="T64" s="257">
        <v>1645</v>
      </c>
      <c r="U64" s="257">
        <v>1190</v>
      </c>
      <c r="V64" s="257">
        <v>730</v>
      </c>
      <c r="W64" s="258">
        <v>275</v>
      </c>
      <c r="X64" s="151">
        <f t="shared" si="2"/>
        <v>58542.67</v>
      </c>
    </row>
    <row r="65" spans="1:24" s="165" customFormat="1" ht="12.75" customHeight="1">
      <c r="A65" s="492">
        <v>30</v>
      </c>
      <c r="B65" s="145" t="s">
        <v>556</v>
      </c>
      <c r="C65" s="526" t="s">
        <v>642</v>
      </c>
      <c r="D65" s="526">
        <v>660</v>
      </c>
      <c r="E65" s="528">
        <f>2825528-170000-458838.25</f>
        <v>2196689.75</v>
      </c>
      <c r="F65" s="543" t="s">
        <v>643</v>
      </c>
      <c r="G65" s="252" t="s">
        <v>559</v>
      </c>
      <c r="H65" s="304">
        <v>5000</v>
      </c>
      <c r="I65" s="303">
        <v>5000</v>
      </c>
      <c r="J65" s="303">
        <v>5000</v>
      </c>
      <c r="K65" s="303">
        <v>10000</v>
      </c>
      <c r="L65" s="303">
        <v>15000</v>
      </c>
      <c r="M65" s="304">
        <v>92432</v>
      </c>
      <c r="N65" s="304">
        <v>92432</v>
      </c>
      <c r="O65" s="304">
        <v>92432</v>
      </c>
      <c r="P65" s="304">
        <v>92432</v>
      </c>
      <c r="Q65" s="304">
        <v>92432</v>
      </c>
      <c r="R65" s="304">
        <v>92432</v>
      </c>
      <c r="S65" s="304">
        <v>92432</v>
      </c>
      <c r="T65" s="304">
        <v>92432</v>
      </c>
      <c r="U65" s="304">
        <v>92432</v>
      </c>
      <c r="V65" s="304">
        <v>92432</v>
      </c>
      <c r="W65" s="305">
        <v>1039888</v>
      </c>
      <c r="X65" s="281">
        <f t="shared" si="2"/>
        <v>2004208</v>
      </c>
    </row>
    <row r="66" spans="1:24" s="165" customFormat="1" ht="12.75">
      <c r="A66" s="493"/>
      <c r="B66" s="148" t="s">
        <v>644</v>
      </c>
      <c r="C66" s="527"/>
      <c r="D66" s="527"/>
      <c r="E66" s="529"/>
      <c r="F66" s="544"/>
      <c r="G66" s="166">
        <v>0.03818</v>
      </c>
      <c r="H66" s="412">
        <v>41468.78</v>
      </c>
      <c r="I66" s="306">
        <v>89575</v>
      </c>
      <c r="J66" s="306">
        <v>101060</v>
      </c>
      <c r="K66" s="306">
        <v>100750</v>
      </c>
      <c r="L66" s="306">
        <v>80165</v>
      </c>
      <c r="M66" s="306">
        <v>79130</v>
      </c>
      <c r="N66" s="306">
        <v>75335</v>
      </c>
      <c r="O66" s="306">
        <v>71575</v>
      </c>
      <c r="P66" s="306">
        <v>67840</v>
      </c>
      <c r="Q66" s="306">
        <v>64265</v>
      </c>
      <c r="R66" s="306">
        <v>60340</v>
      </c>
      <c r="S66" s="306">
        <v>56590</v>
      </c>
      <c r="T66" s="306">
        <v>52845</v>
      </c>
      <c r="U66" s="306">
        <v>49230</v>
      </c>
      <c r="V66" s="306">
        <v>45345</v>
      </c>
      <c r="W66" s="307">
        <v>252190</v>
      </c>
      <c r="X66" s="151">
        <f t="shared" si="2"/>
        <v>1287703.78</v>
      </c>
    </row>
    <row r="67" spans="1:24" s="165" customFormat="1" ht="12.75" customHeight="1">
      <c r="A67" s="492">
        <v>31</v>
      </c>
      <c r="B67" s="145" t="s">
        <v>556</v>
      </c>
      <c r="C67" s="526" t="s">
        <v>645</v>
      </c>
      <c r="D67" s="526">
        <v>661</v>
      </c>
      <c r="E67" s="528">
        <v>1946578</v>
      </c>
      <c r="F67" s="543" t="s">
        <v>646</v>
      </c>
      <c r="G67" s="252" t="s">
        <v>559</v>
      </c>
      <c r="H67" s="255">
        <v>5000</v>
      </c>
      <c r="I67" s="254">
        <v>5000</v>
      </c>
      <c r="J67" s="254">
        <v>5000</v>
      </c>
      <c r="K67" s="254">
        <v>10000</v>
      </c>
      <c r="L67" s="254">
        <v>15000</v>
      </c>
      <c r="M67" s="254">
        <v>73732</v>
      </c>
      <c r="N67" s="254">
        <v>73732</v>
      </c>
      <c r="O67" s="254">
        <v>73732</v>
      </c>
      <c r="P67" s="254">
        <v>73732</v>
      </c>
      <c r="Q67" s="254">
        <v>73732</v>
      </c>
      <c r="R67" s="254">
        <v>73732</v>
      </c>
      <c r="S67" s="254">
        <v>73732</v>
      </c>
      <c r="T67" s="254">
        <v>73732</v>
      </c>
      <c r="U67" s="255">
        <v>73732</v>
      </c>
      <c r="V67" s="255">
        <v>73732</v>
      </c>
      <c r="W67" s="308">
        <v>829512</v>
      </c>
      <c r="X67" s="281">
        <f t="shared" si="2"/>
        <v>1606832</v>
      </c>
    </row>
    <row r="68" spans="1:24" s="165" customFormat="1" ht="12.75">
      <c r="A68" s="493"/>
      <c r="B68" s="148" t="s">
        <v>647</v>
      </c>
      <c r="C68" s="527"/>
      <c r="D68" s="527"/>
      <c r="E68" s="529"/>
      <c r="F68" s="544"/>
      <c r="G68" s="166">
        <v>0.04108</v>
      </c>
      <c r="H68" s="409">
        <v>32294.58</v>
      </c>
      <c r="I68" s="257">
        <f>74125</f>
        <v>74125</v>
      </c>
      <c r="J68" s="257">
        <v>80915</v>
      </c>
      <c r="K68" s="257">
        <v>80605</v>
      </c>
      <c r="L68" s="257">
        <v>64050</v>
      </c>
      <c r="M68" s="257">
        <v>63125</v>
      </c>
      <c r="N68" s="257">
        <v>60095</v>
      </c>
      <c r="O68" s="257">
        <v>57105</v>
      </c>
      <c r="P68" s="257">
        <v>54115</v>
      </c>
      <c r="Q68" s="257">
        <v>51265</v>
      </c>
      <c r="R68" s="257">
        <v>48135</v>
      </c>
      <c r="S68" s="257">
        <v>45145</v>
      </c>
      <c r="T68" s="257">
        <v>42155</v>
      </c>
      <c r="U68" s="257">
        <v>39270</v>
      </c>
      <c r="V68" s="257">
        <v>36175</v>
      </c>
      <c r="W68" s="258">
        <v>201170</v>
      </c>
      <c r="X68" s="151">
        <f t="shared" si="2"/>
        <v>1029744.5800000001</v>
      </c>
    </row>
    <row r="69" spans="1:24" s="165" customFormat="1" ht="17.25" customHeight="1">
      <c r="A69" s="492">
        <v>32</v>
      </c>
      <c r="B69" s="145" t="s">
        <v>556</v>
      </c>
      <c r="C69" s="526" t="s">
        <v>648</v>
      </c>
      <c r="D69" s="526">
        <v>662</v>
      </c>
      <c r="E69" s="528">
        <f>2100900-400000-20542</f>
        <v>1680358</v>
      </c>
      <c r="F69" s="543" t="s">
        <v>649</v>
      </c>
      <c r="G69" s="252" t="s">
        <v>559</v>
      </c>
      <c r="H69" s="255">
        <v>6000</v>
      </c>
      <c r="I69" s="254">
        <v>10000</v>
      </c>
      <c r="J69" s="254">
        <v>20000</v>
      </c>
      <c r="K69" s="254">
        <v>43956</v>
      </c>
      <c r="L69" s="254">
        <v>43956</v>
      </c>
      <c r="M69" s="254">
        <v>43956</v>
      </c>
      <c r="N69" s="254">
        <v>43956</v>
      </c>
      <c r="O69" s="254">
        <v>43956</v>
      </c>
      <c r="P69" s="254">
        <v>43956</v>
      </c>
      <c r="Q69" s="254">
        <v>43956</v>
      </c>
      <c r="R69" s="254">
        <v>43956</v>
      </c>
      <c r="S69" s="254">
        <v>43956</v>
      </c>
      <c r="T69" s="254">
        <v>43956</v>
      </c>
      <c r="U69" s="254">
        <v>43956</v>
      </c>
      <c r="V69" s="254">
        <v>43956</v>
      </c>
      <c r="W69" s="256">
        <v>494488</v>
      </c>
      <c r="X69" s="281">
        <f t="shared" si="2"/>
        <v>1057960</v>
      </c>
    </row>
    <row r="70" spans="1:24" s="165" customFormat="1" ht="18" customHeight="1">
      <c r="A70" s="493"/>
      <c r="B70" s="167" t="s">
        <v>650</v>
      </c>
      <c r="C70" s="546"/>
      <c r="D70" s="546"/>
      <c r="E70" s="547"/>
      <c r="F70" s="544"/>
      <c r="G70" s="168">
        <v>0.04194</v>
      </c>
      <c r="H70" s="413">
        <v>25569.18</v>
      </c>
      <c r="I70" s="309">
        <v>49075</v>
      </c>
      <c r="J70" s="309">
        <v>52640</v>
      </c>
      <c r="K70" s="309">
        <v>51400</v>
      </c>
      <c r="L70" s="309">
        <v>39390</v>
      </c>
      <c r="M70" s="309">
        <v>37710</v>
      </c>
      <c r="N70" s="309">
        <v>35825</v>
      </c>
      <c r="O70" s="309">
        <v>34045</v>
      </c>
      <c r="P70" s="309">
        <v>32260</v>
      </c>
      <c r="Q70" s="309">
        <v>30560</v>
      </c>
      <c r="R70" s="309">
        <v>28695</v>
      </c>
      <c r="S70" s="309">
        <v>26910</v>
      </c>
      <c r="T70" s="309">
        <v>25130</v>
      </c>
      <c r="U70" s="309">
        <v>23410</v>
      </c>
      <c r="V70" s="309">
        <v>21565</v>
      </c>
      <c r="W70" s="310">
        <v>119910</v>
      </c>
      <c r="X70" s="151">
        <f t="shared" si="2"/>
        <v>634094.1799999999</v>
      </c>
    </row>
    <row r="71" spans="1:24" s="165" customFormat="1" ht="12.75" customHeight="1">
      <c r="A71" s="492">
        <v>33</v>
      </c>
      <c r="B71" s="145" t="s">
        <v>556</v>
      </c>
      <c r="C71" s="526" t="s">
        <v>651</v>
      </c>
      <c r="D71" s="526">
        <v>663</v>
      </c>
      <c r="E71" s="528">
        <f>10367403-84075.7</f>
        <v>10283327.3</v>
      </c>
      <c r="F71" s="543" t="s">
        <v>652</v>
      </c>
      <c r="G71" s="252" t="s">
        <v>559</v>
      </c>
      <c r="H71" s="255">
        <v>6000</v>
      </c>
      <c r="I71" s="254">
        <v>10000</v>
      </c>
      <c r="J71" s="254">
        <v>20000</v>
      </c>
      <c r="K71" s="254">
        <v>28000</v>
      </c>
      <c r="L71" s="254">
        <v>40000</v>
      </c>
      <c r="M71" s="254">
        <v>80000</v>
      </c>
      <c r="N71" s="254">
        <v>200000</v>
      </c>
      <c r="O71" s="254">
        <v>400000</v>
      </c>
      <c r="P71" s="254">
        <v>520348</v>
      </c>
      <c r="Q71" s="254">
        <v>520348</v>
      </c>
      <c r="R71" s="254">
        <v>520348</v>
      </c>
      <c r="S71" s="254">
        <v>520348</v>
      </c>
      <c r="T71" s="254">
        <v>520348</v>
      </c>
      <c r="U71" s="254">
        <v>520348</v>
      </c>
      <c r="V71" s="254">
        <v>520348</v>
      </c>
      <c r="W71" s="256">
        <v>5853891</v>
      </c>
      <c r="X71" s="281">
        <f aca="true" t="shared" si="3" ref="X71:X102">SUM(H71:W71)</f>
        <v>10280327</v>
      </c>
    </row>
    <row r="72" spans="1:24" s="165" customFormat="1" ht="12.75">
      <c r="A72" s="493"/>
      <c r="B72" s="148" t="s">
        <v>653</v>
      </c>
      <c r="C72" s="527"/>
      <c r="D72" s="527"/>
      <c r="E72" s="529"/>
      <c r="F72" s="544"/>
      <c r="G72" s="166">
        <v>0.02473</v>
      </c>
      <c r="H72" s="409">
        <v>268000</v>
      </c>
      <c r="I72" s="257">
        <v>483095</v>
      </c>
      <c r="J72" s="257">
        <v>520160</v>
      </c>
      <c r="K72" s="257">
        <v>519090</v>
      </c>
      <c r="L72" s="257">
        <v>414055</v>
      </c>
      <c r="M72" s="257">
        <v>413250</v>
      </c>
      <c r="N72" s="257">
        <v>407945</v>
      </c>
      <c r="O72" s="257">
        <v>398405</v>
      </c>
      <c r="P72" s="257">
        <v>381610</v>
      </c>
      <c r="Q72" s="257">
        <v>361775</v>
      </c>
      <c r="R72" s="257">
        <v>339675</v>
      </c>
      <c r="S72" s="257">
        <v>318570</v>
      </c>
      <c r="T72" s="257">
        <v>297465</v>
      </c>
      <c r="U72" s="257">
        <v>277130</v>
      </c>
      <c r="V72" s="257">
        <v>255260</v>
      </c>
      <c r="W72" s="258">
        <v>1419600</v>
      </c>
      <c r="X72" s="151">
        <f t="shared" si="3"/>
        <v>7075085</v>
      </c>
    </row>
    <row r="73" spans="1:24" s="165" customFormat="1" ht="12.75" customHeight="1">
      <c r="A73" s="492">
        <v>34</v>
      </c>
      <c r="B73" s="145" t="s">
        <v>556</v>
      </c>
      <c r="C73" s="526" t="s">
        <v>654</v>
      </c>
      <c r="D73" s="551">
        <v>665</v>
      </c>
      <c r="E73" s="528">
        <f>158248.54+2664102</f>
        <v>2822350.54</v>
      </c>
      <c r="F73" s="543" t="s">
        <v>652</v>
      </c>
      <c r="G73" s="252" t="s">
        <v>559</v>
      </c>
      <c r="H73" s="255">
        <v>6000</v>
      </c>
      <c r="I73" s="254">
        <v>8000</v>
      </c>
      <c r="J73" s="254">
        <v>16000</v>
      </c>
      <c r="K73" s="254">
        <v>32000</v>
      </c>
      <c r="L73" s="254">
        <v>60000</v>
      </c>
      <c r="M73" s="254">
        <v>80000</v>
      </c>
      <c r="N73" s="254">
        <v>93944</v>
      </c>
      <c r="O73" s="254">
        <v>93944</v>
      </c>
      <c r="P73" s="254">
        <v>93944</v>
      </c>
      <c r="Q73" s="254">
        <v>93944</v>
      </c>
      <c r="R73" s="254">
        <v>93944</v>
      </c>
      <c r="S73" s="254">
        <v>93944</v>
      </c>
      <c r="T73" s="254">
        <v>93944</v>
      </c>
      <c r="U73" s="254">
        <v>93944</v>
      </c>
      <c r="V73" s="255">
        <v>93944</v>
      </c>
      <c r="W73" s="308">
        <v>1056870</v>
      </c>
      <c r="X73" s="281">
        <f t="shared" si="3"/>
        <v>2104366</v>
      </c>
    </row>
    <row r="74" spans="1:24" s="165" customFormat="1" ht="12.75">
      <c r="A74" s="493"/>
      <c r="B74" s="148" t="s">
        <v>655</v>
      </c>
      <c r="C74" s="527"/>
      <c r="D74" s="552"/>
      <c r="E74" s="529"/>
      <c r="F74" s="544"/>
      <c r="G74" s="166">
        <v>0.02473</v>
      </c>
      <c r="H74" s="409">
        <v>57786</v>
      </c>
      <c r="I74" s="257">
        <v>95940</v>
      </c>
      <c r="J74" s="257">
        <v>105825</v>
      </c>
      <c r="K74" s="257">
        <v>104865</v>
      </c>
      <c r="L74" s="257">
        <v>82395</v>
      </c>
      <c r="M74" s="257">
        <v>80075</v>
      </c>
      <c r="N74" s="257">
        <v>76535</v>
      </c>
      <c r="O74" s="257">
        <v>72755</v>
      </c>
      <c r="P74" s="257">
        <v>68945</v>
      </c>
      <c r="Q74" s="257">
        <v>65315</v>
      </c>
      <c r="R74" s="257">
        <v>61325</v>
      </c>
      <c r="S74" s="257">
        <v>57515</v>
      </c>
      <c r="T74" s="257">
        <v>53705</v>
      </c>
      <c r="U74" s="257">
        <v>50035</v>
      </c>
      <c r="V74" s="257">
        <v>46085</v>
      </c>
      <c r="W74" s="258">
        <v>256300</v>
      </c>
      <c r="X74" s="151">
        <f t="shared" si="3"/>
        <v>1335401</v>
      </c>
    </row>
    <row r="75" spans="1:24" s="165" customFormat="1" ht="12.75" customHeight="1">
      <c r="A75" s="492">
        <v>35</v>
      </c>
      <c r="B75" s="145" t="s">
        <v>556</v>
      </c>
      <c r="C75" s="526" t="s">
        <v>656</v>
      </c>
      <c r="D75" s="526">
        <v>666</v>
      </c>
      <c r="E75" s="528">
        <f>663930-19547.23</f>
        <v>644382.77</v>
      </c>
      <c r="F75" s="536" t="s">
        <v>652</v>
      </c>
      <c r="G75" s="252" t="s">
        <v>559</v>
      </c>
      <c r="H75" s="255">
        <v>6000</v>
      </c>
      <c r="I75" s="254">
        <v>10000</v>
      </c>
      <c r="J75" s="254">
        <v>20000</v>
      </c>
      <c r="K75" s="254">
        <v>26040</v>
      </c>
      <c r="L75" s="254">
        <v>26040</v>
      </c>
      <c r="M75" s="254">
        <v>26040</v>
      </c>
      <c r="N75" s="254">
        <v>26040</v>
      </c>
      <c r="O75" s="254">
        <v>26040</v>
      </c>
      <c r="P75" s="254">
        <v>26040</v>
      </c>
      <c r="Q75" s="254">
        <v>26040</v>
      </c>
      <c r="R75" s="254">
        <v>26040</v>
      </c>
      <c r="S75" s="254">
        <v>26040</v>
      </c>
      <c r="T75" s="254">
        <v>26040</v>
      </c>
      <c r="U75" s="254">
        <v>26040</v>
      </c>
      <c r="V75" s="254">
        <v>26040</v>
      </c>
      <c r="W75" s="256">
        <v>292902</v>
      </c>
      <c r="X75" s="281">
        <f t="shared" si="3"/>
        <v>641382</v>
      </c>
    </row>
    <row r="76" spans="1:24" s="165" customFormat="1" ht="12.75">
      <c r="A76" s="493"/>
      <c r="B76" s="148" t="s">
        <v>657</v>
      </c>
      <c r="C76" s="527"/>
      <c r="D76" s="527"/>
      <c r="E76" s="529"/>
      <c r="F76" s="537"/>
      <c r="G76" s="166">
        <v>0.02473</v>
      </c>
      <c r="H76" s="409">
        <v>18525</v>
      </c>
      <c r="I76" s="257">
        <v>28990</v>
      </c>
      <c r="J76" s="257">
        <v>31520</v>
      </c>
      <c r="K76" s="257">
        <v>30470</v>
      </c>
      <c r="L76" s="257">
        <v>23335</v>
      </c>
      <c r="M76" s="257">
        <v>22340</v>
      </c>
      <c r="N76" s="257">
        <v>21225</v>
      </c>
      <c r="O76" s="257">
        <v>20165</v>
      </c>
      <c r="P76" s="257">
        <v>19110</v>
      </c>
      <c r="Q76" s="257">
        <v>18105</v>
      </c>
      <c r="R76" s="257">
        <v>17000</v>
      </c>
      <c r="S76" s="257">
        <v>15945</v>
      </c>
      <c r="T76" s="257">
        <v>14885</v>
      </c>
      <c r="U76" s="257">
        <v>13870</v>
      </c>
      <c r="V76" s="257">
        <v>12775</v>
      </c>
      <c r="W76" s="258">
        <v>71020</v>
      </c>
      <c r="X76" s="151">
        <f t="shared" si="3"/>
        <v>379280</v>
      </c>
    </row>
    <row r="77" spans="1:24" s="165" customFormat="1" ht="12.75" customHeight="1">
      <c r="A77" s="492">
        <v>36</v>
      </c>
      <c r="B77" s="145" t="s">
        <v>556</v>
      </c>
      <c r="C77" s="526" t="s">
        <v>658</v>
      </c>
      <c r="D77" s="526">
        <v>668</v>
      </c>
      <c r="E77" s="528">
        <v>352110</v>
      </c>
      <c r="F77" s="536" t="s">
        <v>659</v>
      </c>
      <c r="G77" s="253" t="s">
        <v>559</v>
      </c>
      <c r="H77" s="255">
        <v>10142</v>
      </c>
      <c r="I77" s="254">
        <v>20416</v>
      </c>
      <c r="J77" s="254">
        <v>20416</v>
      </c>
      <c r="K77" s="254">
        <v>20416</v>
      </c>
      <c r="L77" s="254">
        <v>20416</v>
      </c>
      <c r="M77" s="254">
        <v>20416</v>
      </c>
      <c r="N77" s="254">
        <v>20416</v>
      </c>
      <c r="O77" s="254">
        <v>20416</v>
      </c>
      <c r="P77" s="254">
        <v>20416</v>
      </c>
      <c r="Q77" s="254">
        <v>20416</v>
      </c>
      <c r="R77" s="254">
        <v>20416</v>
      </c>
      <c r="S77" s="254">
        <v>20416</v>
      </c>
      <c r="T77" s="254">
        <v>20416</v>
      </c>
      <c r="U77" s="254">
        <v>20416</v>
      </c>
      <c r="V77" s="254">
        <v>20416</v>
      </c>
      <c r="W77" s="256">
        <v>56144</v>
      </c>
      <c r="X77" s="281">
        <f t="shared" si="3"/>
        <v>352110</v>
      </c>
    </row>
    <row r="78" spans="1:24" s="165" customFormat="1" ht="12.75">
      <c r="A78" s="493"/>
      <c r="B78" s="148" t="s">
        <v>660</v>
      </c>
      <c r="C78" s="527"/>
      <c r="D78" s="527"/>
      <c r="E78" s="529"/>
      <c r="F78" s="537"/>
      <c r="G78" s="166">
        <f>1.661%</f>
        <v>0.01661</v>
      </c>
      <c r="H78" s="409">
        <v>7663.24</v>
      </c>
      <c r="I78" s="257">
        <v>15505</v>
      </c>
      <c r="J78" s="257">
        <v>16145</v>
      </c>
      <c r="K78" s="257">
        <v>15110</v>
      </c>
      <c r="L78" s="257">
        <v>11260</v>
      </c>
      <c r="M78" s="257">
        <v>10460</v>
      </c>
      <c r="N78" s="257">
        <v>9605</v>
      </c>
      <c r="O78" s="257">
        <v>8775</v>
      </c>
      <c r="P78" s="257">
        <v>7950</v>
      </c>
      <c r="Q78" s="257">
        <v>7140</v>
      </c>
      <c r="R78" s="257">
        <v>6290</v>
      </c>
      <c r="S78" s="257">
        <v>5465</v>
      </c>
      <c r="T78" s="257">
        <v>4635</v>
      </c>
      <c r="U78" s="257">
        <v>3820</v>
      </c>
      <c r="V78" s="257">
        <v>2980</v>
      </c>
      <c r="W78" s="258">
        <v>3965</v>
      </c>
      <c r="X78" s="151">
        <f t="shared" si="3"/>
        <v>136768.24</v>
      </c>
    </row>
    <row r="79" spans="1:24" s="169" customFormat="1" ht="11.25" customHeight="1">
      <c r="A79" s="492">
        <v>37</v>
      </c>
      <c r="B79" s="145" t="s">
        <v>556</v>
      </c>
      <c r="C79" s="526" t="s">
        <v>999</v>
      </c>
      <c r="D79" s="526">
        <v>669</v>
      </c>
      <c r="E79" s="528">
        <v>403410</v>
      </c>
      <c r="F79" s="536" t="s">
        <v>659</v>
      </c>
      <c r="G79" s="252" t="s">
        <v>559</v>
      </c>
      <c r="H79" s="255">
        <v>11661</v>
      </c>
      <c r="I79" s="254">
        <v>23388</v>
      </c>
      <c r="J79" s="254">
        <v>23388</v>
      </c>
      <c r="K79" s="254">
        <v>23388</v>
      </c>
      <c r="L79" s="254">
        <v>23388</v>
      </c>
      <c r="M79" s="254">
        <v>23388</v>
      </c>
      <c r="N79" s="254">
        <v>23388</v>
      </c>
      <c r="O79" s="254">
        <v>23388</v>
      </c>
      <c r="P79" s="254">
        <v>23388</v>
      </c>
      <c r="Q79" s="254">
        <v>23388</v>
      </c>
      <c r="R79" s="254">
        <v>23388</v>
      </c>
      <c r="S79" s="254">
        <v>23388</v>
      </c>
      <c r="T79" s="254">
        <v>23388</v>
      </c>
      <c r="U79" s="254">
        <v>23388</v>
      </c>
      <c r="V79" s="254">
        <v>23388</v>
      </c>
      <c r="W79" s="256">
        <v>64317</v>
      </c>
      <c r="X79" s="281">
        <f t="shared" si="3"/>
        <v>403410</v>
      </c>
    </row>
    <row r="80" spans="1:24" s="169" customFormat="1" ht="11.25">
      <c r="A80" s="493"/>
      <c r="B80" s="148" t="s">
        <v>661</v>
      </c>
      <c r="C80" s="527"/>
      <c r="D80" s="527"/>
      <c r="E80" s="529"/>
      <c r="F80" s="537"/>
      <c r="G80" s="166">
        <f>1.661%</f>
        <v>0.01661</v>
      </c>
      <c r="H80" s="409">
        <v>8779.56</v>
      </c>
      <c r="I80" s="257">
        <v>19735</v>
      </c>
      <c r="J80" s="257">
        <v>18495</v>
      </c>
      <c r="K80" s="257">
        <v>17310</v>
      </c>
      <c r="L80" s="257">
        <v>12900</v>
      </c>
      <c r="M80" s="257">
        <v>11985</v>
      </c>
      <c r="N80" s="257">
        <v>11000</v>
      </c>
      <c r="O80" s="257">
        <v>10055</v>
      </c>
      <c r="P80" s="257">
        <v>9105</v>
      </c>
      <c r="Q80" s="257">
        <v>8180</v>
      </c>
      <c r="R80" s="257">
        <v>7205</v>
      </c>
      <c r="S80" s="257">
        <v>6260</v>
      </c>
      <c r="T80" s="257">
        <v>5310</v>
      </c>
      <c r="U80" s="257">
        <v>4375</v>
      </c>
      <c r="V80" s="257">
        <v>3415</v>
      </c>
      <c r="W80" s="258">
        <v>4545</v>
      </c>
      <c r="X80" s="151">
        <f t="shared" si="3"/>
        <v>158654.56</v>
      </c>
    </row>
    <row r="81" spans="1:24" s="169" customFormat="1" ht="11.25" customHeight="1">
      <c r="A81" s="492">
        <v>38</v>
      </c>
      <c r="B81" s="145" t="s">
        <v>556</v>
      </c>
      <c r="C81" s="526" t="s">
        <v>662</v>
      </c>
      <c r="D81" s="526">
        <v>670</v>
      </c>
      <c r="E81" s="528">
        <f>848543-24.81</f>
        <v>848518.19</v>
      </c>
      <c r="F81" s="536" t="s">
        <v>663</v>
      </c>
      <c r="G81" s="252" t="s">
        <v>559</v>
      </c>
      <c r="H81" s="255">
        <v>500.47</v>
      </c>
      <c r="I81" s="254">
        <v>2000</v>
      </c>
      <c r="J81" s="254">
        <v>4000</v>
      </c>
      <c r="K81" s="254">
        <v>8000</v>
      </c>
      <c r="L81" s="254">
        <v>20000</v>
      </c>
      <c r="M81" s="254">
        <f>36180-14188</f>
        <v>21992</v>
      </c>
      <c r="N81" s="254">
        <f aca="true" t="shared" si="4" ref="N81:T81">36180-14188</f>
        <v>21992</v>
      </c>
      <c r="O81" s="254">
        <f t="shared" si="4"/>
        <v>21992</v>
      </c>
      <c r="P81" s="254">
        <f t="shared" si="4"/>
        <v>21992</v>
      </c>
      <c r="Q81" s="254">
        <f t="shared" si="4"/>
        <v>21992</v>
      </c>
      <c r="R81" s="254">
        <f t="shared" si="4"/>
        <v>21992</v>
      </c>
      <c r="S81" s="254">
        <f t="shared" si="4"/>
        <v>21992</v>
      </c>
      <c r="T81" s="254">
        <f t="shared" si="4"/>
        <v>21992</v>
      </c>
      <c r="U81" s="255">
        <v>21992</v>
      </c>
      <c r="V81" s="255">
        <v>21992</v>
      </c>
      <c r="W81" s="308">
        <v>274874</v>
      </c>
      <c r="X81" s="281">
        <f t="shared" si="3"/>
        <v>529294.47</v>
      </c>
    </row>
    <row r="82" spans="1:24" s="169" customFormat="1" ht="11.25">
      <c r="A82" s="493"/>
      <c r="B82" s="148" t="s">
        <v>664</v>
      </c>
      <c r="C82" s="527"/>
      <c r="D82" s="527"/>
      <c r="E82" s="529"/>
      <c r="F82" s="537"/>
      <c r="G82" s="166">
        <f>0.933%+1.258%</f>
        <v>0.02191</v>
      </c>
      <c r="H82" s="409">
        <v>13700</v>
      </c>
      <c r="I82" s="257">
        <v>26865</v>
      </c>
      <c r="J82" s="257">
        <v>26670</v>
      </c>
      <c r="K82" s="257">
        <v>26430</v>
      </c>
      <c r="L82" s="257">
        <v>20730</v>
      </c>
      <c r="M82" s="257">
        <v>19980</v>
      </c>
      <c r="N82" s="257">
        <v>19040</v>
      </c>
      <c r="O82" s="257">
        <v>18150</v>
      </c>
      <c r="P82" s="257">
        <v>17255</v>
      </c>
      <c r="Q82" s="257">
        <v>16410</v>
      </c>
      <c r="R82" s="257">
        <v>15470</v>
      </c>
      <c r="S82" s="257">
        <v>14580</v>
      </c>
      <c r="T82" s="257">
        <v>13690</v>
      </c>
      <c r="U82" s="257">
        <v>12830</v>
      </c>
      <c r="V82" s="257">
        <v>11905</v>
      </c>
      <c r="W82" s="258">
        <v>73615</v>
      </c>
      <c r="X82" s="151">
        <f t="shared" si="3"/>
        <v>347320</v>
      </c>
    </row>
    <row r="83" spans="1:24" s="169" customFormat="1" ht="11.25" customHeight="1">
      <c r="A83" s="492">
        <v>39</v>
      </c>
      <c r="B83" s="145" t="s">
        <v>556</v>
      </c>
      <c r="C83" s="526" t="s">
        <v>665</v>
      </c>
      <c r="D83" s="526">
        <v>671</v>
      </c>
      <c r="E83" s="528">
        <f>1698600+205400</f>
        <v>1904000</v>
      </c>
      <c r="F83" s="536" t="s">
        <v>666</v>
      </c>
      <c r="G83" s="252" t="s">
        <v>559</v>
      </c>
      <c r="H83" s="255">
        <v>2000</v>
      </c>
      <c r="I83" s="254">
        <v>6000</v>
      </c>
      <c r="J83" s="254">
        <v>10000</v>
      </c>
      <c r="K83" s="254">
        <v>20000</v>
      </c>
      <c r="L83" s="254">
        <v>40000</v>
      </c>
      <c r="M83" s="254">
        <v>60000</v>
      </c>
      <c r="N83" s="254">
        <v>82140</v>
      </c>
      <c r="O83" s="254">
        <v>82140</v>
      </c>
      <c r="P83" s="254">
        <v>82140</v>
      </c>
      <c r="Q83" s="254">
        <v>82140</v>
      </c>
      <c r="R83" s="254">
        <v>82140</v>
      </c>
      <c r="S83" s="254">
        <v>82140</v>
      </c>
      <c r="T83" s="254">
        <v>82140</v>
      </c>
      <c r="U83" s="254">
        <v>82140</v>
      </c>
      <c r="V83" s="254">
        <v>82140</v>
      </c>
      <c r="W83" s="256">
        <v>1026740</v>
      </c>
      <c r="X83" s="281">
        <f t="shared" si="3"/>
        <v>1904000</v>
      </c>
    </row>
    <row r="84" spans="1:24" s="169" customFormat="1" ht="11.25">
      <c r="A84" s="493"/>
      <c r="B84" s="148" t="s">
        <v>667</v>
      </c>
      <c r="C84" s="527"/>
      <c r="D84" s="527"/>
      <c r="E84" s="529"/>
      <c r="F84" s="537"/>
      <c r="G84" s="166">
        <v>0.03471</v>
      </c>
      <c r="H84" s="409">
        <v>66840.69</v>
      </c>
      <c r="I84" s="257">
        <v>98570</v>
      </c>
      <c r="J84" s="257">
        <v>96030</v>
      </c>
      <c r="K84" s="257">
        <v>95430</v>
      </c>
      <c r="L84" s="257">
        <v>75385</v>
      </c>
      <c r="M84" s="257">
        <v>73840</v>
      </c>
      <c r="N84" s="257">
        <v>71060</v>
      </c>
      <c r="O84" s="257">
        <v>67780</v>
      </c>
      <c r="P84" s="257">
        <v>64450</v>
      </c>
      <c r="Q84" s="257">
        <v>61285</v>
      </c>
      <c r="R84" s="257">
        <v>57785</v>
      </c>
      <c r="S84" s="257">
        <v>54455</v>
      </c>
      <c r="T84" s="257">
        <v>51120</v>
      </c>
      <c r="U84" s="257">
        <v>47925</v>
      </c>
      <c r="V84" s="257">
        <v>44460</v>
      </c>
      <c r="W84" s="258">
        <v>274990</v>
      </c>
      <c r="X84" s="151">
        <f t="shared" si="3"/>
        <v>1301405.69</v>
      </c>
    </row>
    <row r="85" spans="1:24" s="169" customFormat="1" ht="11.25" customHeight="1">
      <c r="A85" s="492">
        <v>40</v>
      </c>
      <c r="B85" s="145" t="s">
        <v>556</v>
      </c>
      <c r="C85" s="526" t="s">
        <v>668</v>
      </c>
      <c r="D85" s="526">
        <v>672</v>
      </c>
      <c r="E85" s="528">
        <f>142175-5157.95</f>
        <v>137017.05</v>
      </c>
      <c r="F85" s="536" t="s">
        <v>669</v>
      </c>
      <c r="G85" s="253" t="s">
        <v>559</v>
      </c>
      <c r="H85" s="255">
        <v>3955.05</v>
      </c>
      <c r="I85" s="254">
        <v>7944</v>
      </c>
      <c r="J85" s="254">
        <v>7944</v>
      </c>
      <c r="K85" s="254">
        <v>7944</v>
      </c>
      <c r="L85" s="254">
        <v>7944</v>
      </c>
      <c r="M85" s="254">
        <v>7944</v>
      </c>
      <c r="N85" s="254">
        <v>7944</v>
      </c>
      <c r="O85" s="254">
        <v>7944</v>
      </c>
      <c r="P85" s="254">
        <v>7944</v>
      </c>
      <c r="Q85" s="254">
        <v>7944</v>
      </c>
      <c r="R85" s="254">
        <v>7944</v>
      </c>
      <c r="S85" s="254">
        <v>7944</v>
      </c>
      <c r="T85" s="254">
        <v>7944</v>
      </c>
      <c r="U85" s="254">
        <v>7944</v>
      </c>
      <c r="V85" s="254">
        <v>7944</v>
      </c>
      <c r="W85" s="256">
        <v>21846</v>
      </c>
      <c r="X85" s="281">
        <f t="shared" si="3"/>
        <v>137017.05</v>
      </c>
    </row>
    <row r="86" spans="1:24" s="169" customFormat="1" ht="11.25">
      <c r="A86" s="493"/>
      <c r="B86" s="148" t="s">
        <v>670</v>
      </c>
      <c r="C86" s="527"/>
      <c r="D86" s="527"/>
      <c r="E86" s="529"/>
      <c r="F86" s="537"/>
      <c r="G86" s="166">
        <f>3.243%</f>
        <v>0.03243</v>
      </c>
      <c r="H86" s="409">
        <v>4491.84</v>
      </c>
      <c r="I86" s="257">
        <v>6705</v>
      </c>
      <c r="J86" s="257">
        <v>6285</v>
      </c>
      <c r="K86" s="257">
        <v>5880</v>
      </c>
      <c r="L86" s="257">
        <v>4385</v>
      </c>
      <c r="M86" s="257">
        <v>4070</v>
      </c>
      <c r="N86" s="257">
        <v>3740</v>
      </c>
      <c r="O86" s="257">
        <v>3415</v>
      </c>
      <c r="P86" s="257">
        <v>3095</v>
      </c>
      <c r="Q86" s="257">
        <v>2780</v>
      </c>
      <c r="R86" s="257">
        <v>2450</v>
      </c>
      <c r="S86" s="257">
        <v>2125</v>
      </c>
      <c r="T86" s="257">
        <v>1805</v>
      </c>
      <c r="U86" s="257">
        <v>1485</v>
      </c>
      <c r="V86" s="257">
        <v>1160</v>
      </c>
      <c r="W86" s="258">
        <v>1545</v>
      </c>
      <c r="X86" s="151">
        <f t="shared" si="3"/>
        <v>55416.84</v>
      </c>
    </row>
    <row r="87" spans="1:24" s="169" customFormat="1" ht="11.25" customHeight="1">
      <c r="A87" s="492">
        <v>41</v>
      </c>
      <c r="B87" s="145" t="s">
        <v>556</v>
      </c>
      <c r="C87" s="526" t="s">
        <v>671</v>
      </c>
      <c r="D87" s="526">
        <v>673</v>
      </c>
      <c r="E87" s="528">
        <f>625075-48519.44</f>
        <v>576555.56</v>
      </c>
      <c r="F87" s="536" t="s">
        <v>672</v>
      </c>
      <c r="G87" s="252" t="s">
        <v>559</v>
      </c>
      <c r="H87" s="255">
        <v>2000.56</v>
      </c>
      <c r="I87" s="254">
        <v>6000</v>
      </c>
      <c r="J87" s="254">
        <v>10000</v>
      </c>
      <c r="K87" s="254">
        <v>20000</v>
      </c>
      <c r="L87" s="254">
        <v>39892</v>
      </c>
      <c r="M87" s="254">
        <v>39892</v>
      </c>
      <c r="N87" s="254">
        <v>39892</v>
      </c>
      <c r="O87" s="254">
        <v>39892</v>
      </c>
      <c r="P87" s="254">
        <v>39892</v>
      </c>
      <c r="Q87" s="254">
        <v>39892</v>
      </c>
      <c r="R87" s="254">
        <v>39892</v>
      </c>
      <c r="S87" s="254">
        <v>39892</v>
      </c>
      <c r="T87" s="254">
        <v>39892</v>
      </c>
      <c r="U87" s="254">
        <v>39892</v>
      </c>
      <c r="V87" s="254">
        <v>39892</v>
      </c>
      <c r="W87" s="256">
        <v>99743</v>
      </c>
      <c r="X87" s="281">
        <f t="shared" si="3"/>
        <v>576555.56</v>
      </c>
    </row>
    <row r="88" spans="1:24" s="169" customFormat="1" ht="11.25">
      <c r="A88" s="493"/>
      <c r="B88" s="148" t="s">
        <v>673</v>
      </c>
      <c r="C88" s="527"/>
      <c r="D88" s="527"/>
      <c r="E88" s="529"/>
      <c r="F88" s="537"/>
      <c r="G88" s="166">
        <f>3.243%</f>
        <v>0.03243</v>
      </c>
      <c r="H88" s="409">
        <v>18908.45</v>
      </c>
      <c r="I88" s="257">
        <v>29155</v>
      </c>
      <c r="J88" s="257">
        <v>28735</v>
      </c>
      <c r="K88" s="257">
        <v>28135</v>
      </c>
      <c r="L88" s="257">
        <v>21550</v>
      </c>
      <c r="M88" s="257">
        <v>20030</v>
      </c>
      <c r="N88" s="257">
        <v>18360</v>
      </c>
      <c r="O88" s="257">
        <v>16740</v>
      </c>
      <c r="P88" s="257">
        <v>15125</v>
      </c>
      <c r="Q88" s="257">
        <v>13545</v>
      </c>
      <c r="R88" s="257">
        <v>11890</v>
      </c>
      <c r="S88" s="257">
        <v>10270</v>
      </c>
      <c r="T88" s="257">
        <v>8650</v>
      </c>
      <c r="U88" s="257">
        <v>7055</v>
      </c>
      <c r="V88" s="257">
        <v>5415</v>
      </c>
      <c r="W88" s="258">
        <v>6550</v>
      </c>
      <c r="X88" s="151">
        <f t="shared" si="3"/>
        <v>260113.45</v>
      </c>
    </row>
    <row r="89" spans="1:24" s="169" customFormat="1" ht="11.25" customHeight="1">
      <c r="A89" s="492">
        <v>42</v>
      </c>
      <c r="B89" s="145" t="s">
        <v>556</v>
      </c>
      <c r="C89" s="526" t="s">
        <v>1000</v>
      </c>
      <c r="D89" s="526">
        <v>675</v>
      </c>
      <c r="E89" s="528">
        <f>223252-340</f>
        <v>222912</v>
      </c>
      <c r="F89" s="543" t="s">
        <v>674</v>
      </c>
      <c r="G89" s="252" t="s">
        <v>559</v>
      </c>
      <c r="H89" s="255">
        <v>3204</v>
      </c>
      <c r="I89" s="254">
        <v>12924</v>
      </c>
      <c r="J89" s="254">
        <v>12924</v>
      </c>
      <c r="K89" s="254">
        <v>12924</v>
      </c>
      <c r="L89" s="254">
        <v>12924</v>
      </c>
      <c r="M89" s="254">
        <v>12924</v>
      </c>
      <c r="N89" s="254">
        <v>12924</v>
      </c>
      <c r="O89" s="254">
        <v>12924</v>
      </c>
      <c r="P89" s="254">
        <v>12924</v>
      </c>
      <c r="Q89" s="254">
        <v>12924</v>
      </c>
      <c r="R89" s="254">
        <v>12924</v>
      </c>
      <c r="S89" s="254">
        <v>12924</v>
      </c>
      <c r="T89" s="254">
        <v>12924</v>
      </c>
      <c r="U89" s="254">
        <v>12924</v>
      </c>
      <c r="V89" s="254">
        <v>12924</v>
      </c>
      <c r="W89" s="256">
        <v>38772</v>
      </c>
      <c r="X89" s="281">
        <f t="shared" si="3"/>
        <v>222912</v>
      </c>
    </row>
    <row r="90" spans="1:24" s="169" customFormat="1" ht="11.25">
      <c r="A90" s="493"/>
      <c r="B90" s="148" t="s">
        <v>675</v>
      </c>
      <c r="C90" s="527"/>
      <c r="D90" s="527"/>
      <c r="E90" s="529"/>
      <c r="F90" s="544"/>
      <c r="G90" s="166">
        <v>0.03436</v>
      </c>
      <c r="H90" s="409">
        <v>6522.79</v>
      </c>
      <c r="I90" s="257">
        <v>11070</v>
      </c>
      <c r="J90" s="257">
        <v>10385</v>
      </c>
      <c r="K90" s="257">
        <v>9730</v>
      </c>
      <c r="L90" s="257">
        <v>7260</v>
      </c>
      <c r="M90" s="257">
        <v>6755</v>
      </c>
      <c r="N90" s="257">
        <v>6210</v>
      </c>
      <c r="O90" s="257">
        <v>5685</v>
      </c>
      <c r="P90" s="257">
        <v>5165</v>
      </c>
      <c r="Q90" s="257">
        <v>4650</v>
      </c>
      <c r="R90" s="257">
        <v>4115</v>
      </c>
      <c r="S90" s="257">
        <v>3590</v>
      </c>
      <c r="T90" s="257">
        <v>3065</v>
      </c>
      <c r="U90" s="257">
        <v>2550</v>
      </c>
      <c r="V90" s="257">
        <v>2020</v>
      </c>
      <c r="W90" s="258">
        <v>2935</v>
      </c>
      <c r="X90" s="151">
        <f t="shared" si="3"/>
        <v>91707.79000000001</v>
      </c>
    </row>
    <row r="91" spans="1:24" s="169" customFormat="1" ht="11.25" customHeight="1">
      <c r="A91" s="492">
        <v>43</v>
      </c>
      <c r="B91" s="145" t="s">
        <v>556</v>
      </c>
      <c r="C91" s="526" t="s">
        <v>337</v>
      </c>
      <c r="D91" s="526">
        <v>676</v>
      </c>
      <c r="E91" s="528">
        <v>4607144</v>
      </c>
      <c r="F91" s="543" t="s">
        <v>676</v>
      </c>
      <c r="G91" s="252" t="s">
        <v>559</v>
      </c>
      <c r="H91" s="401"/>
      <c r="I91" s="254">
        <v>6000</v>
      </c>
      <c r="J91" s="254">
        <v>10000</v>
      </c>
      <c r="K91" s="254">
        <v>20000</v>
      </c>
      <c r="L91" s="254">
        <v>40000</v>
      </c>
      <c r="M91" s="254">
        <v>100000</v>
      </c>
      <c r="N91" s="254">
        <v>199152</v>
      </c>
      <c r="O91" s="254">
        <v>199152</v>
      </c>
      <c r="P91" s="254">
        <v>199152</v>
      </c>
      <c r="Q91" s="254">
        <v>199152</v>
      </c>
      <c r="R91" s="254">
        <v>199152</v>
      </c>
      <c r="S91" s="254">
        <v>199152</v>
      </c>
      <c r="T91" s="254">
        <v>199152</v>
      </c>
      <c r="U91" s="254">
        <v>199152</v>
      </c>
      <c r="V91" s="254">
        <v>199152</v>
      </c>
      <c r="W91" s="256">
        <v>2638776</v>
      </c>
      <c r="X91" s="281">
        <f t="shared" si="3"/>
        <v>4607144</v>
      </c>
    </row>
    <row r="92" spans="1:24" s="169" customFormat="1" ht="11.25">
      <c r="A92" s="493"/>
      <c r="B92" s="148" t="s">
        <v>677</v>
      </c>
      <c r="C92" s="527"/>
      <c r="D92" s="527"/>
      <c r="E92" s="529"/>
      <c r="F92" s="544"/>
      <c r="G92" s="166">
        <v>0.04203</v>
      </c>
      <c r="H92" s="409">
        <v>107603.99</v>
      </c>
      <c r="I92" s="257">
        <v>215490</v>
      </c>
      <c r="J92" s="257">
        <v>233170</v>
      </c>
      <c r="K92" s="257">
        <v>232565</v>
      </c>
      <c r="L92" s="257">
        <v>185095</v>
      </c>
      <c r="M92" s="257">
        <v>183510</v>
      </c>
      <c r="N92" s="257">
        <v>178240</v>
      </c>
      <c r="O92" s="257">
        <v>170390</v>
      </c>
      <c r="P92" s="257">
        <v>162310</v>
      </c>
      <c r="Q92" s="257">
        <v>154660</v>
      </c>
      <c r="R92" s="257">
        <v>146160</v>
      </c>
      <c r="S92" s="257">
        <v>138080</v>
      </c>
      <c r="T92" s="257">
        <v>130005</v>
      </c>
      <c r="U92" s="257">
        <v>122265</v>
      </c>
      <c r="V92" s="257">
        <v>113850</v>
      </c>
      <c r="W92" s="258">
        <v>746935</v>
      </c>
      <c r="X92" s="151">
        <f t="shared" si="3"/>
        <v>3220328.99</v>
      </c>
    </row>
    <row r="93" spans="1:24" s="169" customFormat="1" ht="11.25" customHeight="1">
      <c r="A93" s="492">
        <v>44</v>
      </c>
      <c r="B93" s="145" t="s">
        <v>556</v>
      </c>
      <c r="C93" s="526" t="s">
        <v>678</v>
      </c>
      <c r="D93" s="526">
        <v>678</v>
      </c>
      <c r="E93" s="528">
        <f>1073828+53126-7158.22</f>
        <v>1119795.78</v>
      </c>
      <c r="F93" s="543" t="s">
        <v>679</v>
      </c>
      <c r="G93" s="252" t="s">
        <v>559</v>
      </c>
      <c r="H93" s="401"/>
      <c r="I93" s="255">
        <v>5008.21</v>
      </c>
      <c r="J93" s="254">
        <v>10000</v>
      </c>
      <c r="K93" s="254">
        <v>20000</v>
      </c>
      <c r="L93" s="254">
        <v>42268</v>
      </c>
      <c r="M93" s="254">
        <v>42268</v>
      </c>
      <c r="N93" s="254">
        <v>42268</v>
      </c>
      <c r="O93" s="254">
        <v>42268</v>
      </c>
      <c r="P93" s="254">
        <v>42268</v>
      </c>
      <c r="Q93" s="254">
        <v>42268</v>
      </c>
      <c r="R93" s="254">
        <v>42268</v>
      </c>
      <c r="S93" s="254">
        <v>42268</v>
      </c>
      <c r="T93" s="254">
        <v>42268</v>
      </c>
      <c r="U93" s="254">
        <v>42268</v>
      </c>
      <c r="V93" s="254">
        <v>42268</v>
      </c>
      <c r="W93" s="256">
        <v>559959</v>
      </c>
      <c r="X93" s="281">
        <f t="shared" si="3"/>
        <v>1059915.21</v>
      </c>
    </row>
    <row r="94" spans="1:24" s="169" customFormat="1" ht="11.25">
      <c r="A94" s="493"/>
      <c r="B94" s="170" t="s">
        <v>680</v>
      </c>
      <c r="C94" s="527"/>
      <c r="D94" s="527"/>
      <c r="E94" s="529"/>
      <c r="F94" s="544"/>
      <c r="G94" s="166">
        <v>0.04564</v>
      </c>
      <c r="H94" s="409">
        <v>23655.33</v>
      </c>
      <c r="I94" s="257">
        <v>51515</v>
      </c>
      <c r="J94" s="257">
        <v>53395</v>
      </c>
      <c r="K94" s="257">
        <v>52790</v>
      </c>
      <c r="L94" s="257">
        <v>41255</v>
      </c>
      <c r="M94" s="257">
        <v>39700</v>
      </c>
      <c r="N94" s="257">
        <v>37875</v>
      </c>
      <c r="O94" s="257">
        <v>36160</v>
      </c>
      <c r="P94" s="257">
        <v>34445</v>
      </c>
      <c r="Q94" s="257">
        <v>32825</v>
      </c>
      <c r="R94" s="257">
        <v>31020</v>
      </c>
      <c r="S94" s="257">
        <v>29305</v>
      </c>
      <c r="T94" s="257">
        <v>27590</v>
      </c>
      <c r="U94" s="257">
        <v>25950</v>
      </c>
      <c r="V94" s="257">
        <v>24160</v>
      </c>
      <c r="W94" s="258">
        <v>158480</v>
      </c>
      <c r="X94" s="151">
        <f t="shared" si="3"/>
        <v>700120.3300000001</v>
      </c>
    </row>
    <row r="95" spans="1:24" s="169" customFormat="1" ht="11.25" customHeight="1">
      <c r="A95" s="492">
        <v>45</v>
      </c>
      <c r="B95" s="145" t="s">
        <v>556</v>
      </c>
      <c r="C95" s="526" t="s">
        <v>681</v>
      </c>
      <c r="D95" s="526">
        <v>679</v>
      </c>
      <c r="E95" s="528">
        <v>1144390</v>
      </c>
      <c r="F95" s="543" t="s">
        <v>682</v>
      </c>
      <c r="G95" s="252" t="s">
        <v>559</v>
      </c>
      <c r="H95" s="401"/>
      <c r="I95" s="254">
        <v>5000</v>
      </c>
      <c r="J95" s="254">
        <v>10000</v>
      </c>
      <c r="K95" s="254">
        <v>20000</v>
      </c>
      <c r="L95" s="254">
        <v>45280</v>
      </c>
      <c r="M95" s="254">
        <v>45280</v>
      </c>
      <c r="N95" s="254">
        <v>45280</v>
      </c>
      <c r="O95" s="254">
        <v>45280</v>
      </c>
      <c r="P95" s="254">
        <v>45280</v>
      </c>
      <c r="Q95" s="254">
        <v>45280</v>
      </c>
      <c r="R95" s="254">
        <v>45280</v>
      </c>
      <c r="S95" s="254">
        <v>45280</v>
      </c>
      <c r="T95" s="254">
        <v>45280</v>
      </c>
      <c r="U95" s="254">
        <v>45280</v>
      </c>
      <c r="V95" s="254">
        <v>45280</v>
      </c>
      <c r="W95" s="256">
        <v>611310</v>
      </c>
      <c r="X95" s="281">
        <f t="shared" si="3"/>
        <v>1144390</v>
      </c>
    </row>
    <row r="96" spans="1:24" s="169" customFormat="1" ht="11.25">
      <c r="A96" s="493"/>
      <c r="B96" s="148" t="s">
        <v>683</v>
      </c>
      <c r="C96" s="527"/>
      <c r="D96" s="527"/>
      <c r="E96" s="529"/>
      <c r="F96" s="544"/>
      <c r="G96" s="166">
        <v>0.01746</v>
      </c>
      <c r="H96" s="409">
        <v>26719.76</v>
      </c>
      <c r="I96" s="257">
        <v>58170</v>
      </c>
      <c r="J96" s="257">
        <v>57685</v>
      </c>
      <c r="K96" s="257">
        <v>57070</v>
      </c>
      <c r="L96" s="257">
        <v>44655</v>
      </c>
      <c r="M96" s="257">
        <v>42995</v>
      </c>
      <c r="N96" s="257">
        <v>41040</v>
      </c>
      <c r="O96" s="257">
        <v>39200</v>
      </c>
      <c r="P96" s="257">
        <v>37365</v>
      </c>
      <c r="Q96" s="257">
        <v>35630</v>
      </c>
      <c r="R96" s="257">
        <v>33695</v>
      </c>
      <c r="S96" s="257">
        <v>31855</v>
      </c>
      <c r="T96" s="257">
        <v>30020</v>
      </c>
      <c r="U96" s="257">
        <v>28260</v>
      </c>
      <c r="V96" s="257">
        <v>26350</v>
      </c>
      <c r="W96" s="258">
        <v>176145</v>
      </c>
      <c r="X96" s="151">
        <f t="shared" si="3"/>
        <v>766854.76</v>
      </c>
    </row>
    <row r="97" spans="1:24" s="169" customFormat="1" ht="11.25" customHeight="1">
      <c r="A97" s="492">
        <v>46</v>
      </c>
      <c r="B97" s="145" t="s">
        <v>556</v>
      </c>
      <c r="C97" s="526" t="s">
        <v>227</v>
      </c>
      <c r="D97" s="526">
        <v>680</v>
      </c>
      <c r="E97" s="528">
        <v>147003</v>
      </c>
      <c r="F97" s="543" t="s">
        <v>684</v>
      </c>
      <c r="G97" s="252" t="s">
        <v>559</v>
      </c>
      <c r="H97" s="255">
        <v>7444</v>
      </c>
      <c r="I97" s="254">
        <v>7444</v>
      </c>
      <c r="J97" s="254">
        <v>7444</v>
      </c>
      <c r="K97" s="254">
        <v>7444</v>
      </c>
      <c r="L97" s="254">
        <v>7444</v>
      </c>
      <c r="M97" s="254">
        <v>7444</v>
      </c>
      <c r="N97" s="254">
        <v>7444</v>
      </c>
      <c r="O97" s="254">
        <v>7444</v>
      </c>
      <c r="P97" s="254">
        <v>7444</v>
      </c>
      <c r="Q97" s="254">
        <v>7444</v>
      </c>
      <c r="R97" s="254">
        <v>7444</v>
      </c>
      <c r="S97" s="254">
        <v>7444</v>
      </c>
      <c r="T97" s="254">
        <v>7444</v>
      </c>
      <c r="U97" s="254">
        <v>7444</v>
      </c>
      <c r="V97" s="254">
        <v>7444</v>
      </c>
      <c r="W97" s="256">
        <v>27915</v>
      </c>
      <c r="X97" s="281">
        <f t="shared" si="3"/>
        <v>139575</v>
      </c>
    </row>
    <row r="98" spans="1:24" s="169" customFormat="1" ht="11.25">
      <c r="A98" s="493"/>
      <c r="B98" s="148" t="s">
        <v>685</v>
      </c>
      <c r="C98" s="527"/>
      <c r="D98" s="527"/>
      <c r="E98" s="529"/>
      <c r="F98" s="544"/>
      <c r="G98" s="166">
        <v>0.01566</v>
      </c>
      <c r="H98" s="409">
        <v>2962.82</v>
      </c>
      <c r="I98" s="257">
        <v>6660</v>
      </c>
      <c r="J98" s="257">
        <v>6265</v>
      </c>
      <c r="K98" s="257">
        <v>5890</v>
      </c>
      <c r="L98" s="257">
        <v>4410</v>
      </c>
      <c r="M98" s="257">
        <v>4120</v>
      </c>
      <c r="N98" s="257">
        <v>3805</v>
      </c>
      <c r="O98" s="257">
        <v>3505</v>
      </c>
      <c r="P98" s="257">
        <v>3200</v>
      </c>
      <c r="Q98" s="257">
        <v>2905</v>
      </c>
      <c r="R98" s="257">
        <v>2600</v>
      </c>
      <c r="S98" s="257">
        <v>2295</v>
      </c>
      <c r="T98" s="257">
        <v>1995</v>
      </c>
      <c r="U98" s="257">
        <v>1695</v>
      </c>
      <c r="V98" s="257">
        <v>1390</v>
      </c>
      <c r="W98" s="258">
        <v>2535</v>
      </c>
      <c r="X98" s="151">
        <f t="shared" si="3"/>
        <v>56232.82</v>
      </c>
    </row>
    <row r="99" spans="1:24" s="169" customFormat="1" ht="11.25" customHeight="1">
      <c r="A99" s="492">
        <v>47</v>
      </c>
      <c r="B99" s="171" t="s">
        <v>556</v>
      </c>
      <c r="C99" s="526" t="s">
        <v>686</v>
      </c>
      <c r="D99" s="526">
        <v>681</v>
      </c>
      <c r="E99" s="528">
        <v>106070</v>
      </c>
      <c r="F99" s="543" t="s">
        <v>687</v>
      </c>
      <c r="G99" s="252" t="s">
        <v>559</v>
      </c>
      <c r="H99" s="401"/>
      <c r="I99" s="254">
        <f>3024</f>
        <v>3024</v>
      </c>
      <c r="J99" s="254">
        <v>6152</v>
      </c>
      <c r="K99" s="254">
        <v>6152</v>
      </c>
      <c r="L99" s="254">
        <v>6152</v>
      </c>
      <c r="M99" s="254">
        <v>6152</v>
      </c>
      <c r="N99" s="254">
        <v>6152</v>
      </c>
      <c r="O99" s="254">
        <v>6152</v>
      </c>
      <c r="P99" s="254">
        <v>6152</v>
      </c>
      <c r="Q99" s="254">
        <v>6152</v>
      </c>
      <c r="R99" s="254">
        <v>6152</v>
      </c>
      <c r="S99" s="254">
        <v>6152</v>
      </c>
      <c r="T99" s="254">
        <v>6152</v>
      </c>
      <c r="U99" s="254">
        <v>6152</v>
      </c>
      <c r="V99" s="254">
        <v>6152</v>
      </c>
      <c r="W99" s="256">
        <v>23070</v>
      </c>
      <c r="X99" s="281">
        <f t="shared" si="3"/>
        <v>106070</v>
      </c>
    </row>
    <row r="100" spans="1:24" s="169" customFormat="1" ht="11.25">
      <c r="A100" s="493"/>
      <c r="B100" s="172" t="s">
        <v>688</v>
      </c>
      <c r="C100" s="527"/>
      <c r="D100" s="527"/>
      <c r="E100" s="529"/>
      <c r="F100" s="544"/>
      <c r="G100" s="166">
        <v>0.02083</v>
      </c>
      <c r="H100" s="409">
        <v>2625</v>
      </c>
      <c r="I100" s="257">
        <v>5390</v>
      </c>
      <c r="J100" s="257">
        <v>5180</v>
      </c>
      <c r="K100" s="257">
        <v>4865</v>
      </c>
      <c r="L100" s="257">
        <v>3645</v>
      </c>
      <c r="M100" s="257">
        <v>3405</v>
      </c>
      <c r="N100" s="257">
        <v>3145</v>
      </c>
      <c r="O100" s="257">
        <v>2895</v>
      </c>
      <c r="P100" s="257">
        <v>2645</v>
      </c>
      <c r="Q100" s="257">
        <v>2405</v>
      </c>
      <c r="R100" s="257">
        <v>2145</v>
      </c>
      <c r="S100" s="257">
        <v>2900</v>
      </c>
      <c r="T100" s="257">
        <v>1650</v>
      </c>
      <c r="U100" s="257">
        <v>1400</v>
      </c>
      <c r="V100" s="257">
        <v>1150</v>
      </c>
      <c r="W100" s="258">
        <v>2095</v>
      </c>
      <c r="X100" s="151">
        <f t="shared" si="3"/>
        <v>47540</v>
      </c>
    </row>
    <row r="101" spans="1:24" s="169" customFormat="1" ht="11.25" customHeight="1">
      <c r="A101" s="492">
        <v>48</v>
      </c>
      <c r="B101" s="171" t="s">
        <v>556</v>
      </c>
      <c r="C101" s="526" t="s">
        <v>787</v>
      </c>
      <c r="D101" s="526">
        <v>682</v>
      </c>
      <c r="E101" s="528">
        <v>603918</v>
      </c>
      <c r="F101" s="543" t="s">
        <v>687</v>
      </c>
      <c r="G101" s="252" t="s">
        <v>559</v>
      </c>
      <c r="H101" s="401"/>
      <c r="I101" s="254">
        <v>13121</v>
      </c>
      <c r="J101" s="254">
        <v>26264</v>
      </c>
      <c r="K101" s="254">
        <v>26264</v>
      </c>
      <c r="L101" s="254">
        <v>26264</v>
      </c>
      <c r="M101" s="254">
        <v>26264</v>
      </c>
      <c r="N101" s="254">
        <v>26264</v>
      </c>
      <c r="O101" s="254">
        <v>26264</v>
      </c>
      <c r="P101" s="254">
        <v>26264</v>
      </c>
      <c r="Q101" s="254">
        <v>26264</v>
      </c>
      <c r="R101" s="254">
        <v>26264</v>
      </c>
      <c r="S101" s="254">
        <v>26264</v>
      </c>
      <c r="T101" s="254">
        <v>26264</v>
      </c>
      <c r="U101" s="254">
        <v>26264</v>
      </c>
      <c r="V101" s="254">
        <v>26264</v>
      </c>
      <c r="W101" s="256">
        <v>98490</v>
      </c>
      <c r="X101" s="281">
        <f t="shared" si="3"/>
        <v>453043</v>
      </c>
    </row>
    <row r="102" spans="1:24" s="169" customFormat="1" ht="11.25">
      <c r="A102" s="493"/>
      <c r="B102" s="172" t="s">
        <v>689</v>
      </c>
      <c r="C102" s="527"/>
      <c r="D102" s="527"/>
      <c r="E102" s="529"/>
      <c r="F102" s="544"/>
      <c r="G102" s="166">
        <f>2.683%</f>
        <v>0.02683</v>
      </c>
      <c r="H102" s="409">
        <v>13850</v>
      </c>
      <c r="I102" s="257">
        <v>25325</v>
      </c>
      <c r="J102" s="257">
        <v>22100</v>
      </c>
      <c r="K102" s="257">
        <v>20765</v>
      </c>
      <c r="L102" s="257">
        <v>15550</v>
      </c>
      <c r="M102" s="257">
        <v>14525</v>
      </c>
      <c r="N102" s="257">
        <v>13420</v>
      </c>
      <c r="O102" s="257">
        <v>12355</v>
      </c>
      <c r="P102" s="257">
        <v>11290</v>
      </c>
      <c r="Q102" s="257">
        <v>10250</v>
      </c>
      <c r="R102" s="257">
        <v>9160</v>
      </c>
      <c r="S102" s="257">
        <v>8095</v>
      </c>
      <c r="T102" s="257">
        <v>7030</v>
      </c>
      <c r="U102" s="257">
        <v>5980</v>
      </c>
      <c r="V102" s="257">
        <v>4900</v>
      </c>
      <c r="W102" s="258">
        <v>8935</v>
      </c>
      <c r="X102" s="151">
        <f t="shared" si="3"/>
        <v>203530</v>
      </c>
    </row>
    <row r="103" spans="1:24" s="169" customFormat="1" ht="11.25" customHeight="1">
      <c r="A103" s="492">
        <v>49</v>
      </c>
      <c r="B103" s="171" t="s">
        <v>556</v>
      </c>
      <c r="C103" s="526" t="s">
        <v>1001</v>
      </c>
      <c r="D103" s="526">
        <v>683</v>
      </c>
      <c r="E103" s="528">
        <v>431815</v>
      </c>
      <c r="F103" s="543" t="s">
        <v>687</v>
      </c>
      <c r="G103" s="252" t="s">
        <v>559</v>
      </c>
      <c r="H103" s="401"/>
      <c r="I103" s="254">
        <v>12462</v>
      </c>
      <c r="J103" s="254">
        <v>25036</v>
      </c>
      <c r="K103" s="254">
        <v>25036</v>
      </c>
      <c r="L103" s="254">
        <v>25036</v>
      </c>
      <c r="M103" s="254">
        <v>25036</v>
      </c>
      <c r="N103" s="254">
        <v>25036</v>
      </c>
      <c r="O103" s="254">
        <v>25036</v>
      </c>
      <c r="P103" s="254">
        <v>25036</v>
      </c>
      <c r="Q103" s="254">
        <v>25036</v>
      </c>
      <c r="R103" s="254">
        <v>25036</v>
      </c>
      <c r="S103" s="254">
        <v>25036</v>
      </c>
      <c r="T103" s="254">
        <v>25036</v>
      </c>
      <c r="U103" s="254">
        <v>25036</v>
      </c>
      <c r="V103" s="254">
        <v>25036</v>
      </c>
      <c r="W103" s="256">
        <v>93885</v>
      </c>
      <c r="X103" s="281">
        <f aca="true" t="shared" si="5" ref="X103:X134">SUM(H103:W103)</f>
        <v>431815</v>
      </c>
    </row>
    <row r="104" spans="1:24" s="169" customFormat="1" ht="11.25">
      <c r="A104" s="493"/>
      <c r="B104" s="172" t="s">
        <v>690</v>
      </c>
      <c r="C104" s="527"/>
      <c r="D104" s="527"/>
      <c r="E104" s="529"/>
      <c r="F104" s="544"/>
      <c r="G104" s="166">
        <v>0.02083</v>
      </c>
      <c r="H104" s="409">
        <v>10690</v>
      </c>
      <c r="I104" s="257">
        <v>21945</v>
      </c>
      <c r="J104" s="257">
        <v>21065</v>
      </c>
      <c r="K104" s="257">
        <v>19795</v>
      </c>
      <c r="L104" s="257">
        <v>14820</v>
      </c>
      <c r="M104" s="257">
        <v>13845</v>
      </c>
      <c r="N104" s="257">
        <v>12790</v>
      </c>
      <c r="O104" s="257">
        <v>11775</v>
      </c>
      <c r="P104" s="257">
        <v>10760</v>
      </c>
      <c r="Q104" s="257">
        <v>9770</v>
      </c>
      <c r="R104" s="257">
        <v>8730</v>
      </c>
      <c r="S104" s="257">
        <v>7715</v>
      </c>
      <c r="T104" s="257">
        <v>6700</v>
      </c>
      <c r="U104" s="257">
        <v>5700</v>
      </c>
      <c r="V104" s="257">
        <v>4670</v>
      </c>
      <c r="W104" s="258">
        <v>8520</v>
      </c>
      <c r="X104" s="151">
        <f t="shared" si="5"/>
        <v>189290</v>
      </c>
    </row>
    <row r="105" spans="1:24" s="169" customFormat="1" ht="15.75" customHeight="1">
      <c r="A105" s="492">
        <v>50</v>
      </c>
      <c r="B105" s="145" t="s">
        <v>556</v>
      </c>
      <c r="C105" s="526" t="s">
        <v>1002</v>
      </c>
      <c r="D105" s="526">
        <v>684</v>
      </c>
      <c r="E105" s="528">
        <v>3381381</v>
      </c>
      <c r="F105" s="543" t="s">
        <v>691</v>
      </c>
      <c r="G105" s="252" t="s">
        <v>559</v>
      </c>
      <c r="H105" s="401"/>
      <c r="I105" s="254">
        <v>25013</v>
      </c>
      <c r="J105" s="254">
        <v>60000</v>
      </c>
      <c r="K105" s="254">
        <v>100000</v>
      </c>
      <c r="L105" s="254">
        <v>130464</v>
      </c>
      <c r="M105" s="254">
        <v>130464</v>
      </c>
      <c r="N105" s="254">
        <v>130464</v>
      </c>
      <c r="O105" s="254">
        <v>130464</v>
      </c>
      <c r="P105" s="254">
        <v>130464</v>
      </c>
      <c r="Q105" s="254">
        <v>130464</v>
      </c>
      <c r="R105" s="254">
        <v>130464</v>
      </c>
      <c r="S105" s="254">
        <v>130464</v>
      </c>
      <c r="T105" s="254">
        <v>130464</v>
      </c>
      <c r="U105" s="254">
        <v>130464</v>
      </c>
      <c r="V105" s="255">
        <v>130464</v>
      </c>
      <c r="W105" s="308">
        <v>1745288.14</v>
      </c>
      <c r="X105" s="281">
        <f t="shared" si="5"/>
        <v>3365405.1399999997</v>
      </c>
    </row>
    <row r="106" spans="1:24" s="169" customFormat="1" ht="17.25" customHeight="1">
      <c r="A106" s="493"/>
      <c r="B106" s="148" t="s">
        <v>692</v>
      </c>
      <c r="C106" s="527"/>
      <c r="D106" s="527"/>
      <c r="E106" s="529"/>
      <c r="F106" s="544"/>
      <c r="G106" s="166">
        <v>0.02283</v>
      </c>
      <c r="H106" s="409">
        <v>82465</v>
      </c>
      <c r="I106" s="257">
        <v>171055</v>
      </c>
      <c r="J106" s="257">
        <v>168815</v>
      </c>
      <c r="K106" s="257">
        <v>165405</v>
      </c>
      <c r="L106" s="257">
        <v>128100</v>
      </c>
      <c r="M106" s="257">
        <v>123215</v>
      </c>
      <c r="N106" s="257">
        <v>117585</v>
      </c>
      <c r="O106" s="257">
        <v>112295</v>
      </c>
      <c r="P106" s="257">
        <v>107005</v>
      </c>
      <c r="Q106" s="257">
        <v>101995</v>
      </c>
      <c r="R106" s="257">
        <v>96425</v>
      </c>
      <c r="S106" s="257">
        <v>91130</v>
      </c>
      <c r="T106" s="257">
        <v>85840</v>
      </c>
      <c r="U106" s="257">
        <v>80775</v>
      </c>
      <c r="V106" s="257">
        <v>75260</v>
      </c>
      <c r="W106" s="258">
        <v>498575</v>
      </c>
      <c r="X106" s="151">
        <f t="shared" si="5"/>
        <v>2205940</v>
      </c>
    </row>
    <row r="107" spans="1:24" s="169" customFormat="1" ht="11.25" customHeight="1">
      <c r="A107" s="492">
        <v>51</v>
      </c>
      <c r="B107" s="171" t="s">
        <v>556</v>
      </c>
      <c r="C107" s="526" t="s">
        <v>1003</v>
      </c>
      <c r="D107" s="526">
        <v>685</v>
      </c>
      <c r="E107" s="528">
        <f>356301+57894-500.88</f>
        <v>413694.12</v>
      </c>
      <c r="F107" s="543" t="s">
        <v>693</v>
      </c>
      <c r="G107" s="251" t="s">
        <v>559</v>
      </c>
      <c r="H107" s="401"/>
      <c r="I107" s="254">
        <v>11962.119999999999</v>
      </c>
      <c r="J107" s="254">
        <v>23984</v>
      </c>
      <c r="K107" s="254">
        <v>23984</v>
      </c>
      <c r="L107" s="254">
        <v>23984</v>
      </c>
      <c r="M107" s="254">
        <v>23984</v>
      </c>
      <c r="N107" s="254">
        <v>23984</v>
      </c>
      <c r="O107" s="254">
        <v>23984</v>
      </c>
      <c r="P107" s="254">
        <v>23984</v>
      </c>
      <c r="Q107" s="254">
        <v>23984</v>
      </c>
      <c r="R107" s="254">
        <v>23984</v>
      </c>
      <c r="S107" s="254">
        <v>23984</v>
      </c>
      <c r="T107" s="254">
        <v>23984</v>
      </c>
      <c r="U107" s="254">
        <v>23984</v>
      </c>
      <c r="V107" s="254">
        <v>23984</v>
      </c>
      <c r="W107" s="256">
        <v>89940</v>
      </c>
      <c r="X107" s="281">
        <f t="shared" si="5"/>
        <v>413694.12</v>
      </c>
    </row>
    <row r="108" spans="1:24" s="169" customFormat="1" ht="11.25">
      <c r="A108" s="493"/>
      <c r="B108" s="173" t="s">
        <v>694</v>
      </c>
      <c r="C108" s="527"/>
      <c r="D108" s="527"/>
      <c r="E108" s="529"/>
      <c r="F108" s="544"/>
      <c r="G108" s="149">
        <v>0.02082</v>
      </c>
      <c r="H108" s="409">
        <v>9887</v>
      </c>
      <c r="I108" s="257">
        <v>21025</v>
      </c>
      <c r="J108" s="257">
        <v>20180</v>
      </c>
      <c r="K108" s="257">
        <v>18965</v>
      </c>
      <c r="L108" s="257">
        <v>14200</v>
      </c>
      <c r="M108" s="257">
        <v>13265</v>
      </c>
      <c r="N108" s="257">
        <v>12255</v>
      </c>
      <c r="O108" s="257">
        <v>11280</v>
      </c>
      <c r="P108" s="257">
        <v>10310</v>
      </c>
      <c r="Q108" s="257">
        <v>9360</v>
      </c>
      <c r="R108" s="257">
        <v>8365</v>
      </c>
      <c r="S108" s="257">
        <v>7390</v>
      </c>
      <c r="T108" s="257">
        <v>6420</v>
      </c>
      <c r="U108" s="257">
        <v>5460</v>
      </c>
      <c r="V108" s="257">
        <v>4475</v>
      </c>
      <c r="W108" s="258">
        <v>8160</v>
      </c>
      <c r="X108" s="151">
        <f t="shared" si="5"/>
        <v>180997</v>
      </c>
    </row>
    <row r="109" spans="1:24" s="169" customFormat="1" ht="17.25" customHeight="1">
      <c r="A109" s="492">
        <v>52</v>
      </c>
      <c r="B109" s="145" t="s">
        <v>556</v>
      </c>
      <c r="C109" s="526" t="s">
        <v>227</v>
      </c>
      <c r="D109" s="526">
        <v>686</v>
      </c>
      <c r="E109" s="528">
        <f>57959+23673+506197</f>
        <v>587829</v>
      </c>
      <c r="F109" s="543" t="s">
        <v>695</v>
      </c>
      <c r="G109" s="252" t="s">
        <v>559</v>
      </c>
      <c r="H109" s="311">
        <f>8376+57844+56990.04-5027+5027</f>
        <v>123210.04000000001</v>
      </c>
      <c r="I109" s="254">
        <v>59524</v>
      </c>
      <c r="J109" s="254">
        <v>59524</v>
      </c>
      <c r="K109" s="254">
        <v>59524</v>
      </c>
      <c r="L109" s="254">
        <v>59524</v>
      </c>
      <c r="M109" s="254">
        <v>59524</v>
      </c>
      <c r="N109" s="254">
        <v>59524</v>
      </c>
      <c r="O109" s="254">
        <v>59524</v>
      </c>
      <c r="P109" s="254">
        <v>44635.96</v>
      </c>
      <c r="Q109" s="254"/>
      <c r="R109" s="254"/>
      <c r="S109" s="254"/>
      <c r="T109" s="254"/>
      <c r="U109" s="254"/>
      <c r="V109" s="254"/>
      <c r="W109" s="256"/>
      <c r="X109" s="281">
        <f t="shared" si="5"/>
        <v>584514</v>
      </c>
    </row>
    <row r="110" spans="1:24" s="169" customFormat="1" ht="18.75" customHeight="1">
      <c r="A110" s="493"/>
      <c r="B110" s="170" t="s">
        <v>696</v>
      </c>
      <c r="C110" s="527"/>
      <c r="D110" s="527"/>
      <c r="E110" s="529"/>
      <c r="F110" s="544"/>
      <c r="G110" s="166">
        <v>0.02938</v>
      </c>
      <c r="H110" s="409">
        <v>16870</v>
      </c>
      <c r="I110" s="257">
        <v>20690</v>
      </c>
      <c r="J110" s="257">
        <v>19905</v>
      </c>
      <c r="K110" s="257">
        <v>16890</v>
      </c>
      <c r="L110" s="257">
        <v>11095</v>
      </c>
      <c r="M110" s="257">
        <v>8710</v>
      </c>
      <c r="N110" s="257">
        <v>6270</v>
      </c>
      <c r="O110" s="257">
        <v>3855</v>
      </c>
      <c r="P110" s="257">
        <v>1440</v>
      </c>
      <c r="Q110" s="257"/>
      <c r="R110" s="257"/>
      <c r="S110" s="257"/>
      <c r="T110" s="257"/>
      <c r="U110" s="257"/>
      <c r="V110" s="257"/>
      <c r="W110" s="258"/>
      <c r="X110" s="151">
        <f t="shared" si="5"/>
        <v>105725</v>
      </c>
    </row>
    <row r="111" spans="1:24" s="169" customFormat="1" ht="23.25" customHeight="1">
      <c r="A111" s="492">
        <v>53</v>
      </c>
      <c r="B111" s="145" t="s">
        <v>556</v>
      </c>
      <c r="C111" s="526" t="s">
        <v>697</v>
      </c>
      <c r="D111" s="526">
        <v>687</v>
      </c>
      <c r="E111" s="528">
        <v>400000</v>
      </c>
      <c r="F111" s="543" t="s">
        <v>698</v>
      </c>
      <c r="G111" s="252" t="s">
        <v>559</v>
      </c>
      <c r="H111" s="401"/>
      <c r="I111" s="254">
        <v>11380</v>
      </c>
      <c r="J111" s="254">
        <v>22860</v>
      </c>
      <c r="K111" s="254">
        <v>22860</v>
      </c>
      <c r="L111" s="254">
        <v>22860</v>
      </c>
      <c r="M111" s="254">
        <v>22860</v>
      </c>
      <c r="N111" s="254">
        <v>22860</v>
      </c>
      <c r="O111" s="254">
        <v>22860</v>
      </c>
      <c r="P111" s="254">
        <v>22860</v>
      </c>
      <c r="Q111" s="254">
        <v>22860</v>
      </c>
      <c r="R111" s="254">
        <v>22860</v>
      </c>
      <c r="S111" s="254">
        <v>22860</v>
      </c>
      <c r="T111" s="254">
        <v>22860</v>
      </c>
      <c r="U111" s="254">
        <v>22860</v>
      </c>
      <c r="V111" s="254">
        <v>22860</v>
      </c>
      <c r="W111" s="254">
        <v>91440</v>
      </c>
      <c r="X111" s="281">
        <f t="shared" si="5"/>
        <v>400000</v>
      </c>
    </row>
    <row r="112" spans="1:24" s="169" customFormat="1" ht="21.75" customHeight="1">
      <c r="A112" s="493"/>
      <c r="B112" s="170" t="s">
        <v>699</v>
      </c>
      <c r="C112" s="527"/>
      <c r="D112" s="527"/>
      <c r="E112" s="529"/>
      <c r="F112" s="544"/>
      <c r="G112" s="166">
        <v>0.0321</v>
      </c>
      <c r="H112" s="409">
        <v>12163.22</v>
      </c>
      <c r="I112" s="257">
        <v>20330</v>
      </c>
      <c r="J112" s="257">
        <v>19525</v>
      </c>
      <c r="K112" s="257">
        <v>18365</v>
      </c>
      <c r="L112" s="257">
        <v>13765</v>
      </c>
      <c r="M112" s="257">
        <v>12875</v>
      </c>
      <c r="N112" s="257">
        <v>11910</v>
      </c>
      <c r="O112" s="257">
        <v>10985</v>
      </c>
      <c r="P112" s="257">
        <v>10060</v>
      </c>
      <c r="Q112" s="257">
        <v>9155</v>
      </c>
      <c r="R112" s="257">
        <v>8205</v>
      </c>
      <c r="S112" s="257">
        <v>7275</v>
      </c>
      <c r="T112" s="257">
        <v>6350</v>
      </c>
      <c r="U112" s="257">
        <v>5435</v>
      </c>
      <c r="V112" s="257">
        <v>4495</v>
      </c>
      <c r="W112" s="257">
        <v>8760</v>
      </c>
      <c r="X112" s="151">
        <f t="shared" si="5"/>
        <v>179653.22</v>
      </c>
    </row>
    <row r="113" spans="1:24" s="174" customFormat="1" ht="16.5" customHeight="1">
      <c r="A113" s="492">
        <v>54</v>
      </c>
      <c r="B113" s="145" t="s">
        <v>556</v>
      </c>
      <c r="C113" s="526" t="s">
        <v>700</v>
      </c>
      <c r="D113" s="526">
        <v>688</v>
      </c>
      <c r="E113" s="528">
        <f>165287-28.01</f>
        <v>165258.99</v>
      </c>
      <c r="F113" s="543" t="s">
        <v>698</v>
      </c>
      <c r="G113" s="252" t="s">
        <v>559</v>
      </c>
      <c r="H113" s="255"/>
      <c r="I113" s="255">
        <f>2359-28.01</f>
        <v>2330.99</v>
      </c>
      <c r="J113" s="254">
        <v>9584</v>
      </c>
      <c r="K113" s="254">
        <v>9584</v>
      </c>
      <c r="L113" s="254">
        <v>9584</v>
      </c>
      <c r="M113" s="254">
        <v>9584</v>
      </c>
      <c r="N113" s="254">
        <v>9584</v>
      </c>
      <c r="O113" s="254">
        <v>9584</v>
      </c>
      <c r="P113" s="254">
        <v>9584</v>
      </c>
      <c r="Q113" s="254">
        <v>9584</v>
      </c>
      <c r="R113" s="254">
        <v>9584</v>
      </c>
      <c r="S113" s="254">
        <v>9584</v>
      </c>
      <c r="T113" s="254">
        <v>9584</v>
      </c>
      <c r="U113" s="254">
        <v>9584</v>
      </c>
      <c r="V113" s="254">
        <v>9584</v>
      </c>
      <c r="W113" s="254">
        <v>38336</v>
      </c>
      <c r="X113" s="281">
        <f t="shared" si="5"/>
        <v>165258.99</v>
      </c>
    </row>
    <row r="114" spans="1:24" s="174" customFormat="1" ht="21" customHeight="1">
      <c r="A114" s="493"/>
      <c r="B114" s="148" t="s">
        <v>701</v>
      </c>
      <c r="C114" s="527"/>
      <c r="D114" s="527"/>
      <c r="E114" s="529"/>
      <c r="F114" s="544"/>
      <c r="G114" s="166">
        <v>0.0321</v>
      </c>
      <c r="H114" s="409">
        <v>5025.2</v>
      </c>
      <c r="I114" s="257">
        <v>8405</v>
      </c>
      <c r="J114" s="257">
        <v>8185</v>
      </c>
      <c r="K114" s="257">
        <v>7700</v>
      </c>
      <c r="L114" s="257">
        <v>5775</v>
      </c>
      <c r="M114" s="257">
        <v>5400</v>
      </c>
      <c r="N114" s="257">
        <v>4995</v>
      </c>
      <c r="O114" s="257">
        <v>4605</v>
      </c>
      <c r="P114" s="257">
        <v>4220</v>
      </c>
      <c r="Q114" s="257">
        <v>3840</v>
      </c>
      <c r="R114" s="257">
        <v>3440</v>
      </c>
      <c r="S114" s="257">
        <v>3050</v>
      </c>
      <c r="T114" s="257">
        <v>2665</v>
      </c>
      <c r="U114" s="257">
        <v>2280</v>
      </c>
      <c r="V114" s="257">
        <v>1885</v>
      </c>
      <c r="W114" s="257">
        <v>3675</v>
      </c>
      <c r="X114" s="151">
        <f t="shared" si="5"/>
        <v>75145.2</v>
      </c>
    </row>
    <row r="115" spans="1:24" s="174" customFormat="1" ht="11.25" customHeight="1">
      <c r="A115" s="492">
        <v>55</v>
      </c>
      <c r="B115" s="145" t="s">
        <v>556</v>
      </c>
      <c r="C115" s="526" t="s">
        <v>702</v>
      </c>
      <c r="D115" s="526">
        <v>689</v>
      </c>
      <c r="E115" s="528">
        <v>182387</v>
      </c>
      <c r="F115" s="543" t="s">
        <v>703</v>
      </c>
      <c r="G115" s="252" t="s">
        <v>559</v>
      </c>
      <c r="H115" s="414">
        <v>14027</v>
      </c>
      <c r="I115" s="312">
        <v>56120</v>
      </c>
      <c r="J115" s="312">
        <v>56120</v>
      </c>
      <c r="K115" s="312">
        <v>56120</v>
      </c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6"/>
      <c r="X115" s="281">
        <f t="shared" si="5"/>
        <v>182387</v>
      </c>
    </row>
    <row r="116" spans="1:24" s="174" customFormat="1" ht="11.25">
      <c r="A116" s="493"/>
      <c r="B116" s="148" t="s">
        <v>704</v>
      </c>
      <c r="C116" s="527"/>
      <c r="D116" s="527"/>
      <c r="E116" s="529"/>
      <c r="F116" s="544"/>
      <c r="G116" s="166">
        <v>0.0324</v>
      </c>
      <c r="H116" s="415">
        <v>4806.19</v>
      </c>
      <c r="I116" s="313">
        <v>8120</v>
      </c>
      <c r="J116" s="313">
        <v>5255</v>
      </c>
      <c r="K116" s="313">
        <v>2410</v>
      </c>
      <c r="L116" s="257">
        <v>160</v>
      </c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8"/>
      <c r="X116" s="151">
        <f t="shared" si="5"/>
        <v>20751.19</v>
      </c>
    </row>
    <row r="117" spans="1:24" s="169" customFormat="1" ht="11.25" customHeight="1">
      <c r="A117" s="492">
        <v>56</v>
      </c>
      <c r="B117" s="145" t="s">
        <v>556</v>
      </c>
      <c r="C117" s="526" t="s">
        <v>705</v>
      </c>
      <c r="D117" s="526">
        <v>690</v>
      </c>
      <c r="E117" s="528">
        <v>1554321</v>
      </c>
      <c r="F117" s="543" t="s">
        <v>706</v>
      </c>
      <c r="G117" s="252" t="s">
        <v>559</v>
      </c>
      <c r="H117" s="414"/>
      <c r="I117" s="312">
        <v>1971</v>
      </c>
      <c r="J117" s="312">
        <v>10000</v>
      </c>
      <c r="K117" s="312">
        <v>20000</v>
      </c>
      <c r="L117" s="312">
        <v>60000</v>
      </c>
      <c r="M117" s="312">
        <v>77992</v>
      </c>
      <c r="N117" s="312">
        <v>77992</v>
      </c>
      <c r="O117" s="312">
        <v>77992</v>
      </c>
      <c r="P117" s="312">
        <v>77992</v>
      </c>
      <c r="Q117" s="312">
        <v>77992</v>
      </c>
      <c r="R117" s="312">
        <v>77992</v>
      </c>
      <c r="S117" s="312">
        <v>77992</v>
      </c>
      <c r="T117" s="312">
        <v>77992</v>
      </c>
      <c r="U117" s="312">
        <v>77992</v>
      </c>
      <c r="V117" s="254">
        <v>77992</v>
      </c>
      <c r="W117" s="256">
        <v>682430</v>
      </c>
      <c r="X117" s="281">
        <f t="shared" si="5"/>
        <v>1554321</v>
      </c>
    </row>
    <row r="118" spans="1:24" s="169" customFormat="1" ht="11.25">
      <c r="A118" s="493"/>
      <c r="B118" s="148" t="s">
        <v>707</v>
      </c>
      <c r="C118" s="527"/>
      <c r="D118" s="527"/>
      <c r="E118" s="529"/>
      <c r="F118" s="544"/>
      <c r="G118" s="166">
        <v>0.03595</v>
      </c>
      <c r="H118" s="415">
        <v>48082.84</v>
      </c>
      <c r="I118" s="313">
        <v>79015</v>
      </c>
      <c r="J118" s="313">
        <v>78615</v>
      </c>
      <c r="K118" s="313">
        <v>78005</v>
      </c>
      <c r="L118" s="313">
        <v>61275</v>
      </c>
      <c r="M118" s="313">
        <v>58945</v>
      </c>
      <c r="N118" s="313">
        <v>55660</v>
      </c>
      <c r="O118" s="313">
        <v>52495</v>
      </c>
      <c r="P118" s="313">
        <v>49330</v>
      </c>
      <c r="Q118" s="313">
        <v>46295</v>
      </c>
      <c r="R118" s="313">
        <v>43005</v>
      </c>
      <c r="S118" s="314">
        <v>39845</v>
      </c>
      <c r="T118" s="314">
        <v>36680</v>
      </c>
      <c r="U118" s="314">
        <v>33610</v>
      </c>
      <c r="V118" s="257">
        <v>30355</v>
      </c>
      <c r="W118" s="258">
        <v>130915</v>
      </c>
      <c r="X118" s="151">
        <f t="shared" si="5"/>
        <v>922127.84</v>
      </c>
    </row>
    <row r="119" spans="1:24" s="169" customFormat="1" ht="19.5" customHeight="1">
      <c r="A119" s="492">
        <v>57</v>
      </c>
      <c r="B119" s="145" t="s">
        <v>556</v>
      </c>
      <c r="C119" s="526" t="s">
        <v>1004</v>
      </c>
      <c r="D119" s="526">
        <v>691</v>
      </c>
      <c r="E119" s="528">
        <f>102741-5539.61</f>
        <v>97201.39</v>
      </c>
      <c r="F119" s="543" t="s">
        <v>708</v>
      </c>
      <c r="G119" s="252" t="s">
        <v>559</v>
      </c>
      <c r="H119" s="321">
        <f>7893-427.61</f>
        <v>7465.39</v>
      </c>
      <c r="I119" s="315">
        <f>31616-1704</f>
        <v>29912</v>
      </c>
      <c r="J119" s="315">
        <f>31616-1704</f>
        <v>29912</v>
      </c>
      <c r="K119" s="315">
        <f>31616-1704</f>
        <v>29912</v>
      </c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6"/>
      <c r="X119" s="281">
        <f t="shared" si="5"/>
        <v>97201.39</v>
      </c>
    </row>
    <row r="120" spans="1:24" s="169" customFormat="1" ht="24.75" customHeight="1">
      <c r="A120" s="493"/>
      <c r="B120" s="148" t="s">
        <v>709</v>
      </c>
      <c r="C120" s="527"/>
      <c r="D120" s="527"/>
      <c r="E120" s="529"/>
      <c r="F120" s="544"/>
      <c r="G120" s="166">
        <v>0.03627</v>
      </c>
      <c r="H120" s="416">
        <v>2817.67</v>
      </c>
      <c r="I120" s="316">
        <v>4330</v>
      </c>
      <c r="J120" s="316">
        <v>2800</v>
      </c>
      <c r="K120" s="316">
        <v>1285</v>
      </c>
      <c r="L120" s="257">
        <v>85</v>
      </c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8"/>
      <c r="X120" s="151">
        <f t="shared" si="5"/>
        <v>11317.67</v>
      </c>
    </row>
    <row r="121" spans="1:24" s="174" customFormat="1" ht="11.25" customHeight="1">
      <c r="A121" s="492">
        <v>58</v>
      </c>
      <c r="B121" s="145" t="s">
        <v>556</v>
      </c>
      <c r="C121" s="526" t="s">
        <v>710</v>
      </c>
      <c r="D121" s="526">
        <v>692</v>
      </c>
      <c r="E121" s="528">
        <f>227931-0.13</f>
        <v>227930.87</v>
      </c>
      <c r="F121" s="536" t="s">
        <v>711</v>
      </c>
      <c r="G121" s="252" t="s">
        <v>559</v>
      </c>
      <c r="H121" s="401"/>
      <c r="I121" s="255"/>
      <c r="J121" s="254">
        <v>13171</v>
      </c>
      <c r="K121" s="254">
        <v>13216</v>
      </c>
      <c r="L121" s="254">
        <v>13216</v>
      </c>
      <c r="M121" s="254">
        <v>13216</v>
      </c>
      <c r="N121" s="254">
        <v>13216</v>
      </c>
      <c r="O121" s="254">
        <v>13216</v>
      </c>
      <c r="P121" s="254">
        <v>13216</v>
      </c>
      <c r="Q121" s="254">
        <v>13216</v>
      </c>
      <c r="R121" s="254">
        <v>13216</v>
      </c>
      <c r="S121" s="254">
        <v>13216</v>
      </c>
      <c r="T121" s="254">
        <v>13216</v>
      </c>
      <c r="U121" s="254">
        <v>13216</v>
      </c>
      <c r="V121" s="254">
        <v>13216</v>
      </c>
      <c r="W121" s="256">
        <f>56168-0.13</f>
        <v>56167.87</v>
      </c>
      <c r="X121" s="281">
        <f t="shared" si="5"/>
        <v>227930.87</v>
      </c>
    </row>
    <row r="122" spans="1:24" s="174" customFormat="1" ht="11.25">
      <c r="A122" s="493"/>
      <c r="B122" s="148" t="s">
        <v>712</v>
      </c>
      <c r="C122" s="527"/>
      <c r="D122" s="527"/>
      <c r="E122" s="529"/>
      <c r="F122" s="533"/>
      <c r="G122" s="166">
        <v>0.04594</v>
      </c>
      <c r="H122" s="409">
        <v>6352.3</v>
      </c>
      <c r="I122" s="257">
        <v>12220</v>
      </c>
      <c r="J122" s="257">
        <v>11420</v>
      </c>
      <c r="K122" s="257">
        <v>10785</v>
      </c>
      <c r="L122" s="257">
        <v>8095</v>
      </c>
      <c r="M122" s="257">
        <v>7580</v>
      </c>
      <c r="N122" s="257">
        <v>7020</v>
      </c>
      <c r="O122" s="257">
        <v>6485</v>
      </c>
      <c r="P122" s="257">
        <v>5950</v>
      </c>
      <c r="Q122" s="257">
        <v>5430</v>
      </c>
      <c r="R122" s="257">
        <v>4880</v>
      </c>
      <c r="S122" s="257">
        <v>4340</v>
      </c>
      <c r="T122" s="257">
        <v>3805</v>
      </c>
      <c r="U122" s="257">
        <v>3280</v>
      </c>
      <c r="V122" s="257">
        <v>2735</v>
      </c>
      <c r="W122" s="258">
        <v>5665</v>
      </c>
      <c r="X122" s="151">
        <f t="shared" si="5"/>
        <v>106042.3</v>
      </c>
    </row>
    <row r="123" spans="1:24" s="169" customFormat="1" ht="22.5" customHeight="1">
      <c r="A123" s="492">
        <v>59</v>
      </c>
      <c r="B123" s="145" t="s">
        <v>556</v>
      </c>
      <c r="C123" s="526" t="s">
        <v>713</v>
      </c>
      <c r="D123" s="526">
        <v>693</v>
      </c>
      <c r="E123" s="528">
        <v>281144</v>
      </c>
      <c r="F123" s="536" t="s">
        <v>711</v>
      </c>
      <c r="G123" s="252" t="s">
        <v>559</v>
      </c>
      <c r="H123" s="311">
        <f>20696.21+8869.8</f>
        <v>29566.01</v>
      </c>
      <c r="I123" s="255"/>
      <c r="J123" s="254">
        <v>14588</v>
      </c>
      <c r="K123" s="254">
        <v>14588</v>
      </c>
      <c r="L123" s="254">
        <v>14588</v>
      </c>
      <c r="M123" s="254">
        <v>14588</v>
      </c>
      <c r="N123" s="254">
        <v>14588</v>
      </c>
      <c r="O123" s="254">
        <v>14588</v>
      </c>
      <c r="P123" s="254">
        <v>14588</v>
      </c>
      <c r="Q123" s="254">
        <v>14588</v>
      </c>
      <c r="R123" s="254">
        <v>14588</v>
      </c>
      <c r="S123" s="254">
        <v>14588</v>
      </c>
      <c r="T123" s="254">
        <v>14588</v>
      </c>
      <c r="U123" s="254">
        <v>14588</v>
      </c>
      <c r="V123" s="254">
        <v>14588</v>
      </c>
      <c r="W123" s="308">
        <v>61933.99</v>
      </c>
      <c r="X123" s="281">
        <f t="shared" si="5"/>
        <v>281144</v>
      </c>
    </row>
    <row r="124" spans="1:24" s="169" customFormat="1" ht="21.75" customHeight="1">
      <c r="A124" s="493"/>
      <c r="B124" s="148" t="s">
        <v>714</v>
      </c>
      <c r="C124" s="527"/>
      <c r="D124" s="527"/>
      <c r="E124" s="529"/>
      <c r="F124" s="533"/>
      <c r="G124" s="166">
        <v>0.04594</v>
      </c>
      <c r="H124" s="409">
        <v>7041.16</v>
      </c>
      <c r="I124" s="257">
        <v>12530</v>
      </c>
      <c r="J124" s="257">
        <v>12600</v>
      </c>
      <c r="K124" s="257">
        <v>11900</v>
      </c>
      <c r="L124" s="257">
        <v>8930</v>
      </c>
      <c r="M124" s="257">
        <v>8360</v>
      </c>
      <c r="N124" s="257">
        <v>7750</v>
      </c>
      <c r="O124" s="257">
        <v>7155</v>
      </c>
      <c r="P124" s="257">
        <v>6565</v>
      </c>
      <c r="Q124" s="257">
        <v>5990</v>
      </c>
      <c r="R124" s="257">
        <v>5380</v>
      </c>
      <c r="S124" s="257">
        <v>4790</v>
      </c>
      <c r="T124" s="257">
        <v>4200</v>
      </c>
      <c r="U124" s="257">
        <v>3615</v>
      </c>
      <c r="V124" s="257">
        <v>3015</v>
      </c>
      <c r="W124" s="258">
        <v>6240</v>
      </c>
      <c r="X124" s="151">
        <f>SUM(H124:W124)</f>
        <v>116061.16</v>
      </c>
    </row>
    <row r="125" spans="1:24" s="169" customFormat="1" ht="17.25" customHeight="1">
      <c r="A125" s="492">
        <v>60</v>
      </c>
      <c r="B125" s="145" t="s">
        <v>556</v>
      </c>
      <c r="C125" s="526" t="s">
        <v>715</v>
      </c>
      <c r="D125" s="526">
        <v>694</v>
      </c>
      <c r="E125" s="528">
        <v>103706</v>
      </c>
      <c r="F125" s="536" t="s">
        <v>716</v>
      </c>
      <c r="G125" s="252" t="s">
        <v>559</v>
      </c>
      <c r="H125" s="311">
        <v>9210.26</v>
      </c>
      <c r="I125" s="255"/>
      <c r="J125" s="254">
        <v>12990.76</v>
      </c>
      <c r="K125" s="255"/>
      <c r="L125" s="255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6"/>
      <c r="X125" s="281">
        <f t="shared" si="5"/>
        <v>22201.02</v>
      </c>
    </row>
    <row r="126" spans="1:24" s="169" customFormat="1" ht="16.5" customHeight="1">
      <c r="A126" s="493"/>
      <c r="B126" s="148" t="s">
        <v>717</v>
      </c>
      <c r="C126" s="527"/>
      <c r="D126" s="527"/>
      <c r="E126" s="529"/>
      <c r="F126" s="533"/>
      <c r="G126" s="166">
        <v>0.04369</v>
      </c>
      <c r="H126" s="409">
        <v>545.8</v>
      </c>
      <c r="I126" s="257">
        <v>640</v>
      </c>
      <c r="J126" s="257">
        <v>510</v>
      </c>
      <c r="K126" s="257">
        <v>30</v>
      </c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8"/>
      <c r="X126" s="151">
        <f t="shared" si="5"/>
        <v>1725.8</v>
      </c>
    </row>
    <row r="127" spans="1:24" s="169" customFormat="1" ht="11.25" customHeight="1">
      <c r="A127" s="492">
        <v>61</v>
      </c>
      <c r="B127" s="145" t="s">
        <v>556</v>
      </c>
      <c r="C127" s="526" t="s">
        <v>718</v>
      </c>
      <c r="D127" s="526">
        <v>695</v>
      </c>
      <c r="E127" s="528">
        <f>476312+31719</f>
        <v>508031</v>
      </c>
      <c r="F127" s="536" t="s">
        <v>719</v>
      </c>
      <c r="G127" s="252" t="s">
        <v>559</v>
      </c>
      <c r="H127" s="311">
        <f>10111.78</f>
        <v>10111.78</v>
      </c>
      <c r="I127" s="255"/>
      <c r="J127" s="255">
        <v>18276</v>
      </c>
      <c r="K127" s="254">
        <v>18276</v>
      </c>
      <c r="L127" s="254">
        <v>18276</v>
      </c>
      <c r="M127" s="254">
        <v>18276</v>
      </c>
      <c r="N127" s="254">
        <v>18276</v>
      </c>
      <c r="O127" s="254">
        <v>18276</v>
      </c>
      <c r="P127" s="254">
        <v>18276</v>
      </c>
      <c r="Q127" s="254">
        <v>18276</v>
      </c>
      <c r="R127" s="254">
        <v>18276</v>
      </c>
      <c r="S127" s="254">
        <v>18276</v>
      </c>
      <c r="T127" s="254">
        <v>18276</v>
      </c>
      <c r="U127" s="254">
        <v>18276</v>
      </c>
      <c r="V127" s="254">
        <v>18276</v>
      </c>
      <c r="W127" s="254">
        <v>260331.22</v>
      </c>
      <c r="X127" s="281">
        <f t="shared" si="5"/>
        <v>508031</v>
      </c>
    </row>
    <row r="128" spans="1:24" s="169" customFormat="1" ht="11.25">
      <c r="A128" s="493"/>
      <c r="B128" s="148" t="s">
        <v>720</v>
      </c>
      <c r="C128" s="527"/>
      <c r="D128" s="527"/>
      <c r="E128" s="529"/>
      <c r="F128" s="533"/>
      <c r="G128" s="166">
        <v>0.04969</v>
      </c>
      <c r="H128" s="409">
        <v>16261.56</v>
      </c>
      <c r="I128" s="257">
        <v>27925</v>
      </c>
      <c r="J128" s="257">
        <v>25050</v>
      </c>
      <c r="K128" s="257">
        <v>24175</v>
      </c>
      <c r="L128" s="257">
        <v>18600</v>
      </c>
      <c r="M128" s="257">
        <v>17905</v>
      </c>
      <c r="N128" s="257">
        <v>17115</v>
      </c>
      <c r="O128" s="257">
        <v>16375</v>
      </c>
      <c r="P128" s="257">
        <v>15635</v>
      </c>
      <c r="Q128" s="257">
        <v>14935</v>
      </c>
      <c r="R128" s="257">
        <v>14150</v>
      </c>
      <c r="S128" s="257">
        <v>13410</v>
      </c>
      <c r="T128" s="257">
        <v>12670</v>
      </c>
      <c r="U128" s="257">
        <v>11960</v>
      </c>
      <c r="V128" s="257">
        <v>11185</v>
      </c>
      <c r="W128" s="258">
        <v>78940</v>
      </c>
      <c r="X128" s="151">
        <f t="shared" si="5"/>
        <v>336291.56</v>
      </c>
    </row>
    <row r="129" spans="1:24" s="169" customFormat="1" ht="18.75" customHeight="1">
      <c r="A129" s="492">
        <v>62</v>
      </c>
      <c r="B129" s="145" t="s">
        <v>556</v>
      </c>
      <c r="C129" s="526" t="s">
        <v>721</v>
      </c>
      <c r="D129" s="526">
        <v>696</v>
      </c>
      <c r="E129" s="528">
        <v>800107</v>
      </c>
      <c r="F129" s="536" t="s">
        <v>722</v>
      </c>
      <c r="G129" s="252" t="s">
        <v>559</v>
      </c>
      <c r="H129" s="311">
        <f>3876.21+3879.99</f>
        <v>7756.2</v>
      </c>
      <c r="I129" s="255"/>
      <c r="J129" s="254">
        <v>1277</v>
      </c>
      <c r="K129" s="254">
        <v>4000</v>
      </c>
      <c r="L129" s="254">
        <v>51894.01</v>
      </c>
      <c r="M129" s="254">
        <v>51868</v>
      </c>
      <c r="N129" s="254">
        <v>51868</v>
      </c>
      <c r="O129" s="254">
        <v>51868</v>
      </c>
      <c r="P129" s="254">
        <v>51868</v>
      </c>
      <c r="Q129" s="254">
        <v>51868</v>
      </c>
      <c r="R129" s="254">
        <v>51868</v>
      </c>
      <c r="S129" s="254">
        <v>51868</v>
      </c>
      <c r="T129" s="254">
        <v>51868</v>
      </c>
      <c r="U129" s="254">
        <v>51868</v>
      </c>
      <c r="V129" s="254">
        <v>51868</v>
      </c>
      <c r="W129" s="308">
        <v>214988.09</v>
      </c>
      <c r="X129" s="281">
        <f t="shared" si="5"/>
        <v>798595.2999999999</v>
      </c>
    </row>
    <row r="130" spans="1:24" s="169" customFormat="1" ht="16.5" customHeight="1">
      <c r="A130" s="493"/>
      <c r="B130" s="148" t="s">
        <v>723</v>
      </c>
      <c r="C130" s="527"/>
      <c r="D130" s="527"/>
      <c r="E130" s="529"/>
      <c r="F130" s="537"/>
      <c r="G130" s="166">
        <v>0.04789</v>
      </c>
      <c r="H130" s="409">
        <v>14245</v>
      </c>
      <c r="I130" s="257">
        <f>39550-195</f>
        <v>39355</v>
      </c>
      <c r="J130" s="257">
        <v>40090</v>
      </c>
      <c r="K130" s="257">
        <v>39990</v>
      </c>
      <c r="L130" s="257">
        <v>31430</v>
      </c>
      <c r="M130" s="257">
        <v>29515</v>
      </c>
      <c r="N130" s="257">
        <v>27330</v>
      </c>
      <c r="O130" s="257">
        <v>25225</v>
      </c>
      <c r="P130" s="257">
        <v>23120</v>
      </c>
      <c r="Q130" s="257">
        <v>21075</v>
      </c>
      <c r="R130" s="257">
        <v>18915</v>
      </c>
      <c r="S130" s="257">
        <v>16810</v>
      </c>
      <c r="T130" s="257">
        <v>14710</v>
      </c>
      <c r="U130" s="257">
        <v>12640</v>
      </c>
      <c r="V130" s="257">
        <v>10500</v>
      </c>
      <c r="W130" s="258">
        <v>21230</v>
      </c>
      <c r="X130" s="151">
        <f t="shared" si="5"/>
        <v>386180</v>
      </c>
    </row>
    <row r="131" spans="1:24" s="169" customFormat="1" ht="18.75" customHeight="1">
      <c r="A131" s="492">
        <v>63</v>
      </c>
      <c r="B131" s="145" t="s">
        <v>556</v>
      </c>
      <c r="C131" s="526" t="s">
        <v>724</v>
      </c>
      <c r="D131" s="526">
        <v>697</v>
      </c>
      <c r="E131" s="528">
        <f>727379-1545.06</f>
        <v>725833.94</v>
      </c>
      <c r="F131" s="536" t="s">
        <v>725</v>
      </c>
      <c r="G131" s="252" t="s">
        <v>559</v>
      </c>
      <c r="H131" s="401"/>
      <c r="I131" s="255"/>
      <c r="J131" s="254">
        <v>1250</v>
      </c>
      <c r="K131" s="254">
        <v>4000</v>
      </c>
      <c r="L131" s="254">
        <v>28540</v>
      </c>
      <c r="M131" s="254">
        <v>28540</v>
      </c>
      <c r="N131" s="254">
        <v>28540</v>
      </c>
      <c r="O131" s="254">
        <v>28540</v>
      </c>
      <c r="P131" s="254">
        <v>28540</v>
      </c>
      <c r="Q131" s="254">
        <v>28540</v>
      </c>
      <c r="R131" s="254">
        <v>28540</v>
      </c>
      <c r="S131" s="254">
        <v>28540</v>
      </c>
      <c r="T131" s="254">
        <v>28540</v>
      </c>
      <c r="U131" s="254">
        <v>28540</v>
      </c>
      <c r="V131" s="254">
        <v>28540</v>
      </c>
      <c r="W131" s="256">
        <v>406643.94</v>
      </c>
      <c r="X131" s="175">
        <f t="shared" si="5"/>
        <v>725833.94</v>
      </c>
    </row>
    <row r="132" spans="1:24" s="169" customFormat="1" ht="17.25" customHeight="1">
      <c r="A132" s="493"/>
      <c r="B132" s="148" t="s">
        <v>726</v>
      </c>
      <c r="C132" s="527"/>
      <c r="D132" s="527"/>
      <c r="E132" s="529"/>
      <c r="F132" s="537"/>
      <c r="G132" s="166">
        <v>0.05144</v>
      </c>
      <c r="H132" s="409">
        <v>21831.47</v>
      </c>
      <c r="I132" s="257">
        <v>39275</v>
      </c>
      <c r="J132" s="257">
        <v>36795</v>
      </c>
      <c r="K132" s="257">
        <v>36700</v>
      </c>
      <c r="L132" s="257">
        <v>28995</v>
      </c>
      <c r="M132" s="257">
        <v>27965</v>
      </c>
      <c r="N132" s="257">
        <v>26735</v>
      </c>
      <c r="O132" s="257">
        <v>25575</v>
      </c>
      <c r="P132" s="257">
        <v>24420</v>
      </c>
      <c r="Q132" s="257">
        <v>23325</v>
      </c>
      <c r="R132" s="257">
        <v>22105</v>
      </c>
      <c r="S132" s="257">
        <v>20945</v>
      </c>
      <c r="T132" s="257">
        <v>19790</v>
      </c>
      <c r="U132" s="257">
        <v>18680</v>
      </c>
      <c r="V132" s="257">
        <v>17475</v>
      </c>
      <c r="W132" s="258">
        <v>123340</v>
      </c>
      <c r="X132" s="151">
        <f t="shared" si="5"/>
        <v>513951.47</v>
      </c>
    </row>
    <row r="133" spans="1:24" s="169" customFormat="1" ht="11.25" customHeight="1">
      <c r="A133" s="492">
        <v>64</v>
      </c>
      <c r="B133" s="145" t="s">
        <v>556</v>
      </c>
      <c r="C133" s="526" t="s">
        <v>1005</v>
      </c>
      <c r="D133" s="526">
        <v>698</v>
      </c>
      <c r="E133" s="528">
        <v>49567</v>
      </c>
      <c r="F133" s="536" t="s">
        <v>727</v>
      </c>
      <c r="G133" s="252" t="s">
        <v>559</v>
      </c>
      <c r="H133" s="255"/>
      <c r="I133" s="254">
        <v>1337</v>
      </c>
      <c r="J133" s="254">
        <v>2756</v>
      </c>
      <c r="K133" s="254">
        <v>2756</v>
      </c>
      <c r="L133" s="254">
        <v>2756</v>
      </c>
      <c r="M133" s="254">
        <v>2756</v>
      </c>
      <c r="N133" s="254">
        <v>2756</v>
      </c>
      <c r="O133" s="254">
        <v>2756</v>
      </c>
      <c r="P133" s="254">
        <v>2756</v>
      </c>
      <c r="Q133" s="254">
        <v>2756</v>
      </c>
      <c r="R133" s="254">
        <v>2756</v>
      </c>
      <c r="S133" s="254">
        <v>2756</v>
      </c>
      <c r="T133" s="254">
        <v>2756</v>
      </c>
      <c r="U133" s="254">
        <v>2756</v>
      </c>
      <c r="V133" s="254">
        <v>2651.87</v>
      </c>
      <c r="W133" s="256"/>
      <c r="X133" s="281">
        <f t="shared" si="5"/>
        <v>37060.87</v>
      </c>
    </row>
    <row r="134" spans="1:24" s="169" customFormat="1" ht="11.25">
      <c r="A134" s="493"/>
      <c r="B134" s="148" t="s">
        <v>728</v>
      </c>
      <c r="C134" s="527"/>
      <c r="D134" s="527"/>
      <c r="E134" s="529"/>
      <c r="F134" s="533"/>
      <c r="G134" s="166">
        <v>0.0503</v>
      </c>
      <c r="H134" s="409">
        <v>1050.62</v>
      </c>
      <c r="I134" s="257">
        <v>1985</v>
      </c>
      <c r="J134" s="257">
        <v>1790</v>
      </c>
      <c r="K134" s="257">
        <v>1650</v>
      </c>
      <c r="L134" s="257">
        <v>1210</v>
      </c>
      <c r="M134" s="257">
        <v>1100</v>
      </c>
      <c r="N134" s="257">
        <v>985</v>
      </c>
      <c r="O134" s="257">
        <v>875</v>
      </c>
      <c r="P134" s="257">
        <v>765</v>
      </c>
      <c r="Q134" s="257">
        <v>655</v>
      </c>
      <c r="R134" s="257">
        <v>540</v>
      </c>
      <c r="S134" s="257">
        <v>430</v>
      </c>
      <c r="T134" s="257">
        <v>315</v>
      </c>
      <c r="U134" s="257">
        <v>205</v>
      </c>
      <c r="V134" s="257">
        <v>95</v>
      </c>
      <c r="W134" s="258">
        <v>10</v>
      </c>
      <c r="X134" s="151">
        <f t="shared" si="5"/>
        <v>13660.619999999999</v>
      </c>
    </row>
    <row r="135" spans="1:24" s="169" customFormat="1" ht="11.25" customHeight="1">
      <c r="A135" s="492">
        <v>65</v>
      </c>
      <c r="B135" s="145" t="s">
        <v>556</v>
      </c>
      <c r="C135" s="526" t="s">
        <v>443</v>
      </c>
      <c r="D135" s="526">
        <v>699</v>
      </c>
      <c r="E135" s="528">
        <v>2617758</v>
      </c>
      <c r="F135" s="536" t="s">
        <v>729</v>
      </c>
      <c r="G135" s="252" t="s">
        <v>559</v>
      </c>
      <c r="H135" s="401"/>
      <c r="I135" s="255"/>
      <c r="J135" s="254">
        <v>1494</v>
      </c>
      <c r="K135" s="254">
        <v>4000</v>
      </c>
      <c r="L135" s="254">
        <v>103456</v>
      </c>
      <c r="M135" s="254">
        <v>103456</v>
      </c>
      <c r="N135" s="254">
        <v>103456</v>
      </c>
      <c r="O135" s="254">
        <v>103456</v>
      </c>
      <c r="P135" s="254">
        <v>103456</v>
      </c>
      <c r="Q135" s="254">
        <v>103456</v>
      </c>
      <c r="R135" s="254">
        <v>103456</v>
      </c>
      <c r="S135" s="254">
        <v>103456</v>
      </c>
      <c r="T135" s="254">
        <v>103456</v>
      </c>
      <c r="U135" s="254">
        <v>103456</v>
      </c>
      <c r="V135" s="254">
        <v>103456</v>
      </c>
      <c r="W135" s="256">
        <v>1474248</v>
      </c>
      <c r="X135" s="281">
        <f aca="true" t="shared" si="6" ref="X135:X158">SUM(H135:W135)</f>
        <v>2617758</v>
      </c>
    </row>
    <row r="136" spans="1:24" s="169" customFormat="1" ht="11.25">
      <c r="A136" s="493"/>
      <c r="B136" s="148" t="s">
        <v>730</v>
      </c>
      <c r="C136" s="527"/>
      <c r="D136" s="527"/>
      <c r="E136" s="529"/>
      <c r="F136" s="533"/>
      <c r="G136" s="166">
        <v>0.05982</v>
      </c>
      <c r="H136" s="409">
        <v>54053.78</v>
      </c>
      <c r="I136" s="257">
        <v>152795</v>
      </c>
      <c r="J136" s="257">
        <v>132700</v>
      </c>
      <c r="K136" s="257">
        <v>132595</v>
      </c>
      <c r="L136" s="257">
        <v>105075</v>
      </c>
      <c r="M136" s="257">
        <v>101380</v>
      </c>
      <c r="N136" s="257">
        <v>96905</v>
      </c>
      <c r="O136" s="257">
        <v>92710</v>
      </c>
      <c r="P136" s="257">
        <v>88515</v>
      </c>
      <c r="Q136" s="257">
        <v>84550</v>
      </c>
      <c r="R136" s="257">
        <v>80125</v>
      </c>
      <c r="S136" s="257">
        <v>75930</v>
      </c>
      <c r="T136" s="257">
        <v>71730</v>
      </c>
      <c r="U136" s="257">
        <v>67725</v>
      </c>
      <c r="V136" s="257">
        <v>63340</v>
      </c>
      <c r="W136" s="258">
        <v>447195</v>
      </c>
      <c r="X136" s="151">
        <f t="shared" si="6"/>
        <v>1847323.78</v>
      </c>
    </row>
    <row r="137" spans="1:24" s="169" customFormat="1" ht="11.25" customHeight="1">
      <c r="A137" s="492">
        <v>66</v>
      </c>
      <c r="B137" s="145" t="s">
        <v>556</v>
      </c>
      <c r="C137" s="526" t="s">
        <v>731</v>
      </c>
      <c r="D137" s="526">
        <v>700</v>
      </c>
      <c r="E137" s="528">
        <v>31923</v>
      </c>
      <c r="F137" s="536" t="s">
        <v>732</v>
      </c>
      <c r="G137" s="252" t="s">
        <v>559</v>
      </c>
      <c r="H137" s="401"/>
      <c r="I137" s="255"/>
      <c r="J137" s="254">
        <v>1304</v>
      </c>
      <c r="K137" s="254">
        <v>1828</v>
      </c>
      <c r="L137" s="254">
        <v>1828</v>
      </c>
      <c r="M137" s="254">
        <v>1828</v>
      </c>
      <c r="N137" s="254">
        <v>1828</v>
      </c>
      <c r="O137" s="254">
        <v>1828</v>
      </c>
      <c r="P137" s="254">
        <v>1828</v>
      </c>
      <c r="Q137" s="254">
        <v>1828</v>
      </c>
      <c r="R137" s="254">
        <v>1828</v>
      </c>
      <c r="S137" s="254">
        <v>1828</v>
      </c>
      <c r="T137" s="254">
        <v>1828</v>
      </c>
      <c r="U137" s="254">
        <v>1828</v>
      </c>
      <c r="V137" s="254">
        <v>1828</v>
      </c>
      <c r="W137" s="256">
        <v>8683</v>
      </c>
      <c r="X137" s="281">
        <f t="shared" si="6"/>
        <v>31923</v>
      </c>
    </row>
    <row r="138" spans="1:24" s="169" customFormat="1" ht="11.25">
      <c r="A138" s="493"/>
      <c r="B138" s="148" t="s">
        <v>733</v>
      </c>
      <c r="C138" s="527"/>
      <c r="D138" s="527"/>
      <c r="E138" s="529"/>
      <c r="F138" s="533"/>
      <c r="G138" s="166">
        <v>0.02918</v>
      </c>
      <c r="H138" s="409">
        <v>906</v>
      </c>
      <c r="I138" s="257">
        <v>1950</v>
      </c>
      <c r="J138" s="257">
        <v>1615</v>
      </c>
      <c r="K138" s="257">
        <v>1540</v>
      </c>
      <c r="L138" s="257">
        <v>1160</v>
      </c>
      <c r="M138" s="257">
        <v>1090</v>
      </c>
      <c r="N138" s="257">
        <v>1010</v>
      </c>
      <c r="O138" s="257">
        <v>935</v>
      </c>
      <c r="P138" s="257">
        <v>860</v>
      </c>
      <c r="Q138" s="257">
        <v>790</v>
      </c>
      <c r="R138" s="257">
        <v>715</v>
      </c>
      <c r="S138" s="257">
        <v>640</v>
      </c>
      <c r="T138" s="257">
        <v>565</v>
      </c>
      <c r="U138" s="257">
        <v>495</v>
      </c>
      <c r="V138" s="257">
        <v>415</v>
      </c>
      <c r="W138" s="258">
        <v>965</v>
      </c>
      <c r="X138" s="151">
        <f t="shared" si="6"/>
        <v>15651</v>
      </c>
    </row>
    <row r="139" spans="1:24" s="169" customFormat="1" ht="16.5" customHeight="1">
      <c r="A139" s="492">
        <v>67</v>
      </c>
      <c r="B139" s="145" t="s">
        <v>556</v>
      </c>
      <c r="C139" s="526" t="s">
        <v>734</v>
      </c>
      <c r="D139" s="526">
        <v>701</v>
      </c>
      <c r="E139" s="528">
        <v>281777</v>
      </c>
      <c r="F139" s="536" t="s">
        <v>732</v>
      </c>
      <c r="G139" s="252" t="s">
        <v>559</v>
      </c>
      <c r="H139" s="401"/>
      <c r="I139" s="255"/>
      <c r="J139" s="254">
        <v>8149</v>
      </c>
      <c r="K139" s="254">
        <v>16336</v>
      </c>
      <c r="L139" s="254">
        <v>16336</v>
      </c>
      <c r="M139" s="254">
        <v>16336</v>
      </c>
      <c r="N139" s="254">
        <v>16336</v>
      </c>
      <c r="O139" s="254">
        <v>16336</v>
      </c>
      <c r="P139" s="254">
        <v>16336</v>
      </c>
      <c r="Q139" s="254">
        <v>16336</v>
      </c>
      <c r="R139" s="254">
        <v>16336</v>
      </c>
      <c r="S139" s="254">
        <v>16336</v>
      </c>
      <c r="T139" s="254">
        <v>16336</v>
      </c>
      <c r="U139" s="254">
        <v>16336</v>
      </c>
      <c r="V139" s="254">
        <v>16336</v>
      </c>
      <c r="W139" s="256">
        <v>77596</v>
      </c>
      <c r="X139" s="281">
        <f t="shared" si="6"/>
        <v>281777</v>
      </c>
    </row>
    <row r="140" spans="1:24" s="169" customFormat="1" ht="15" customHeight="1">
      <c r="A140" s="493"/>
      <c r="B140" s="148" t="s">
        <v>735</v>
      </c>
      <c r="C140" s="527"/>
      <c r="D140" s="527"/>
      <c r="E140" s="529"/>
      <c r="F140" s="533"/>
      <c r="G140" s="166">
        <v>0.02918</v>
      </c>
      <c r="H140" s="409">
        <v>8154</v>
      </c>
      <c r="I140" s="257">
        <v>17190</v>
      </c>
      <c r="J140" s="257">
        <v>14280</v>
      </c>
      <c r="K140" s="257">
        <v>13745</v>
      </c>
      <c r="L140" s="257">
        <v>10335</v>
      </c>
      <c r="M140" s="257">
        <v>9700</v>
      </c>
      <c r="N140" s="257">
        <v>9010</v>
      </c>
      <c r="O140" s="257">
        <v>8345</v>
      </c>
      <c r="P140" s="257">
        <v>7685</v>
      </c>
      <c r="Q140" s="257">
        <v>7040</v>
      </c>
      <c r="R140" s="257">
        <v>6360</v>
      </c>
      <c r="S140" s="257">
        <v>5695</v>
      </c>
      <c r="T140" s="257">
        <v>5035</v>
      </c>
      <c r="U140" s="257">
        <v>4385</v>
      </c>
      <c r="V140" s="257">
        <v>3710</v>
      </c>
      <c r="W140" s="258">
        <v>8610</v>
      </c>
      <c r="X140" s="151">
        <f t="shared" si="6"/>
        <v>139279</v>
      </c>
    </row>
    <row r="141" spans="1:24" s="169" customFormat="1" ht="11.25" customHeight="1">
      <c r="A141" s="492">
        <v>68</v>
      </c>
      <c r="B141" s="145" t="s">
        <v>556</v>
      </c>
      <c r="C141" s="526" t="s">
        <v>337</v>
      </c>
      <c r="D141" s="526">
        <v>703</v>
      </c>
      <c r="E141" s="553">
        <v>1917761</v>
      </c>
      <c r="F141" s="555" t="s">
        <v>736</v>
      </c>
      <c r="G141" s="252" t="s">
        <v>559</v>
      </c>
      <c r="H141" s="401"/>
      <c r="I141" s="254">
        <v>6000</v>
      </c>
      <c r="J141" s="254">
        <v>10000</v>
      </c>
      <c r="K141" s="254">
        <v>25000</v>
      </c>
      <c r="L141" s="254">
        <v>58716</v>
      </c>
      <c r="M141" s="254">
        <v>89484</v>
      </c>
      <c r="N141" s="254">
        <v>89484</v>
      </c>
      <c r="O141" s="254">
        <v>89484</v>
      </c>
      <c r="P141" s="254">
        <v>89484</v>
      </c>
      <c r="Q141" s="254">
        <v>80130</v>
      </c>
      <c r="R141" s="254">
        <v>70768</v>
      </c>
      <c r="S141" s="254">
        <v>70768</v>
      </c>
      <c r="T141" s="254">
        <v>70768</v>
      </c>
      <c r="U141" s="254">
        <v>70768</v>
      </c>
      <c r="V141" s="254">
        <v>70768</v>
      </c>
      <c r="W141" s="256">
        <v>1026139</v>
      </c>
      <c r="X141" s="281">
        <f t="shared" si="6"/>
        <v>1917761</v>
      </c>
    </row>
    <row r="142" spans="1:24" s="169" customFormat="1" ht="11.25">
      <c r="A142" s="493"/>
      <c r="B142" s="148" t="s">
        <v>737</v>
      </c>
      <c r="C142" s="527"/>
      <c r="D142" s="527"/>
      <c r="E142" s="554"/>
      <c r="F142" s="556"/>
      <c r="G142" s="166">
        <v>0.04095</v>
      </c>
      <c r="H142" s="409">
        <v>55915</v>
      </c>
      <c r="I142" s="257">
        <v>116935</v>
      </c>
      <c r="J142" s="257">
        <v>96835</v>
      </c>
      <c r="K142" s="257">
        <v>96225</v>
      </c>
      <c r="L142" s="257">
        <v>75685</v>
      </c>
      <c r="M142" s="257">
        <v>73310</v>
      </c>
      <c r="N142" s="257">
        <v>69545</v>
      </c>
      <c r="O142" s="257">
        <v>65915</v>
      </c>
      <c r="P142" s="257">
        <v>62290</v>
      </c>
      <c r="Q142" s="257">
        <v>58825</v>
      </c>
      <c r="R142" s="257">
        <v>55525</v>
      </c>
      <c r="S142" s="257">
        <v>52655</v>
      </c>
      <c r="T142" s="257">
        <v>49785</v>
      </c>
      <c r="U142" s="257">
        <v>47045</v>
      </c>
      <c r="V142" s="257">
        <v>44045</v>
      </c>
      <c r="W142" s="258">
        <v>316470</v>
      </c>
      <c r="X142" s="151">
        <f t="shared" si="6"/>
        <v>1337005</v>
      </c>
    </row>
    <row r="143" spans="1:24" s="169" customFormat="1" ht="11.25" customHeight="1">
      <c r="A143" s="492">
        <v>69</v>
      </c>
      <c r="B143" s="145" t="s">
        <v>556</v>
      </c>
      <c r="C143" s="551" t="s">
        <v>738</v>
      </c>
      <c r="D143" s="526">
        <v>704</v>
      </c>
      <c r="E143" s="553">
        <v>233148</v>
      </c>
      <c r="F143" s="555" t="s">
        <v>739</v>
      </c>
      <c r="G143" s="252" t="s">
        <v>559</v>
      </c>
      <c r="H143" s="255"/>
      <c r="I143" s="254">
        <v>0</v>
      </c>
      <c r="J143" s="254">
        <v>5208</v>
      </c>
      <c r="K143" s="254">
        <v>10480</v>
      </c>
      <c r="L143" s="254">
        <v>10480</v>
      </c>
      <c r="M143" s="254">
        <v>10480</v>
      </c>
      <c r="N143" s="254">
        <v>10480</v>
      </c>
      <c r="O143" s="254">
        <v>10480</v>
      </c>
      <c r="P143" s="254">
        <v>10480</v>
      </c>
      <c r="Q143" s="254">
        <v>10480</v>
      </c>
      <c r="R143" s="254">
        <v>10480</v>
      </c>
      <c r="S143" s="254">
        <v>10480</v>
      </c>
      <c r="T143" s="254">
        <v>10480</v>
      </c>
      <c r="U143" s="254">
        <v>10480</v>
      </c>
      <c r="V143" s="254">
        <v>10480</v>
      </c>
      <c r="W143" s="254">
        <v>102180</v>
      </c>
      <c r="X143" s="281">
        <f t="shared" si="6"/>
        <v>233148</v>
      </c>
    </row>
    <row r="144" spans="1:24" s="169" customFormat="1" ht="11.25">
      <c r="A144" s="493"/>
      <c r="B144" s="148" t="s">
        <v>740</v>
      </c>
      <c r="C144" s="552"/>
      <c r="D144" s="527"/>
      <c r="E144" s="554"/>
      <c r="F144" s="556"/>
      <c r="G144" s="166">
        <v>0.04429</v>
      </c>
      <c r="H144" s="409">
        <v>8488.42</v>
      </c>
      <c r="I144" s="257">
        <v>14225</v>
      </c>
      <c r="J144" s="257">
        <v>11820</v>
      </c>
      <c r="K144" s="257">
        <v>11475</v>
      </c>
      <c r="L144" s="257">
        <v>8755</v>
      </c>
      <c r="M144" s="257">
        <v>8355</v>
      </c>
      <c r="N144" s="257">
        <v>7905</v>
      </c>
      <c r="O144" s="257">
        <v>7480</v>
      </c>
      <c r="P144" s="257">
        <v>7055</v>
      </c>
      <c r="Q144" s="257">
        <v>6650</v>
      </c>
      <c r="R144" s="257">
        <v>6205</v>
      </c>
      <c r="S144" s="257">
        <v>5780</v>
      </c>
      <c r="T144" s="257">
        <v>5355</v>
      </c>
      <c r="U144" s="257">
        <v>4945</v>
      </c>
      <c r="V144" s="257">
        <v>4505</v>
      </c>
      <c r="W144" s="257">
        <v>21675</v>
      </c>
      <c r="X144" s="151">
        <f t="shared" si="6"/>
        <v>140673.41999999998</v>
      </c>
    </row>
    <row r="145" spans="1:24" s="169" customFormat="1" ht="11.25" customHeight="1">
      <c r="A145" s="492">
        <v>70</v>
      </c>
      <c r="B145" s="145" t="s">
        <v>556</v>
      </c>
      <c r="C145" s="551" t="s">
        <v>741</v>
      </c>
      <c r="D145" s="526">
        <v>705</v>
      </c>
      <c r="E145" s="553">
        <v>61747</v>
      </c>
      <c r="F145" s="555" t="s">
        <v>742</v>
      </c>
      <c r="G145" s="252" t="s">
        <v>559</v>
      </c>
      <c r="H145" s="255"/>
      <c r="I145" s="254">
        <v>7032</v>
      </c>
      <c r="J145" s="254">
        <v>7060</v>
      </c>
      <c r="K145" s="254">
        <v>7060</v>
      </c>
      <c r="L145" s="254">
        <v>7060</v>
      </c>
      <c r="M145" s="254">
        <v>7060</v>
      </c>
      <c r="N145" s="254">
        <v>7060</v>
      </c>
      <c r="O145" s="254">
        <v>7060</v>
      </c>
      <c r="P145" s="254">
        <v>7060</v>
      </c>
      <c r="Q145" s="254">
        <v>5295</v>
      </c>
      <c r="R145" s="254"/>
      <c r="S145" s="254"/>
      <c r="T145" s="254"/>
      <c r="U145" s="254"/>
      <c r="V145" s="254"/>
      <c r="W145" s="254"/>
      <c r="X145" s="281">
        <f t="shared" si="6"/>
        <v>61747</v>
      </c>
    </row>
    <row r="146" spans="1:24" s="169" customFormat="1" ht="11.25">
      <c r="A146" s="493"/>
      <c r="B146" s="148" t="s">
        <v>743</v>
      </c>
      <c r="C146" s="552"/>
      <c r="D146" s="527"/>
      <c r="E146" s="554"/>
      <c r="F146" s="556"/>
      <c r="G146" s="166">
        <v>0.03829</v>
      </c>
      <c r="H146" s="409">
        <v>2098.61</v>
      </c>
      <c r="I146" s="257">
        <v>3375</v>
      </c>
      <c r="J146" s="257">
        <v>2720</v>
      </c>
      <c r="K146" s="257">
        <v>2365</v>
      </c>
      <c r="L146" s="257">
        <v>1605</v>
      </c>
      <c r="M146" s="257">
        <v>1320</v>
      </c>
      <c r="N146" s="257">
        <v>1030</v>
      </c>
      <c r="O146" s="257">
        <v>745</v>
      </c>
      <c r="P146" s="257">
        <v>460</v>
      </c>
      <c r="Q146" s="257">
        <v>175</v>
      </c>
      <c r="R146" s="257"/>
      <c r="S146" s="257"/>
      <c r="T146" s="257"/>
      <c r="U146" s="257"/>
      <c r="V146" s="257"/>
      <c r="W146" s="257"/>
      <c r="X146" s="151">
        <f t="shared" si="6"/>
        <v>15893.61</v>
      </c>
    </row>
    <row r="147" spans="1:24" s="169" customFormat="1" ht="11.25" customHeight="1">
      <c r="A147" s="492">
        <v>71</v>
      </c>
      <c r="B147" s="145" t="s">
        <v>556</v>
      </c>
      <c r="C147" s="551" t="s">
        <v>744</v>
      </c>
      <c r="D147" s="526">
        <v>706</v>
      </c>
      <c r="E147" s="553">
        <v>86370</v>
      </c>
      <c r="F147" s="555" t="s">
        <v>742</v>
      </c>
      <c r="G147" s="252" t="s">
        <v>559</v>
      </c>
      <c r="H147" s="255"/>
      <c r="I147" s="254">
        <v>9862</v>
      </c>
      <c r="J147" s="254">
        <v>9872</v>
      </c>
      <c r="K147" s="254">
        <v>9872</v>
      </c>
      <c r="L147" s="254">
        <v>9872</v>
      </c>
      <c r="M147" s="254">
        <v>9872</v>
      </c>
      <c r="N147" s="254">
        <v>9872</v>
      </c>
      <c r="O147" s="254">
        <v>9872</v>
      </c>
      <c r="P147" s="254">
        <v>9872</v>
      </c>
      <c r="Q147" s="254">
        <v>7404</v>
      </c>
      <c r="R147" s="254"/>
      <c r="S147" s="254"/>
      <c r="T147" s="254"/>
      <c r="U147" s="254"/>
      <c r="V147" s="254"/>
      <c r="W147" s="254"/>
      <c r="X147" s="281">
        <f t="shared" si="6"/>
        <v>86370</v>
      </c>
    </row>
    <row r="148" spans="1:24" s="169" customFormat="1" ht="11.25">
      <c r="A148" s="493"/>
      <c r="B148" s="148" t="s">
        <v>745</v>
      </c>
      <c r="C148" s="552"/>
      <c r="D148" s="527"/>
      <c r="E148" s="554"/>
      <c r="F148" s="556"/>
      <c r="G148" s="166">
        <v>0.03829</v>
      </c>
      <c r="H148" s="409">
        <v>2889.13</v>
      </c>
      <c r="I148" s="257">
        <v>4715</v>
      </c>
      <c r="J148" s="257">
        <v>3805</v>
      </c>
      <c r="K148" s="257">
        <v>3305</v>
      </c>
      <c r="L148" s="257">
        <v>2245</v>
      </c>
      <c r="M148" s="257">
        <v>1850</v>
      </c>
      <c r="N148" s="257">
        <v>1440</v>
      </c>
      <c r="O148" s="257">
        <v>1040</v>
      </c>
      <c r="P148" s="257">
        <v>640</v>
      </c>
      <c r="Q148" s="257">
        <v>240</v>
      </c>
      <c r="R148" s="257"/>
      <c r="S148" s="257"/>
      <c r="T148" s="257"/>
      <c r="U148" s="257"/>
      <c r="V148" s="257"/>
      <c r="W148" s="257"/>
      <c r="X148" s="151">
        <f t="shared" si="6"/>
        <v>22169.13</v>
      </c>
    </row>
    <row r="149" spans="1:24" s="169" customFormat="1" ht="11.25" customHeight="1">
      <c r="A149" s="492">
        <v>72</v>
      </c>
      <c r="B149" s="145" t="s">
        <v>556</v>
      </c>
      <c r="C149" s="551" t="s">
        <v>746</v>
      </c>
      <c r="D149" s="526">
        <v>707</v>
      </c>
      <c r="E149" s="553">
        <v>59840</v>
      </c>
      <c r="F149" s="555" t="s">
        <v>742</v>
      </c>
      <c r="G149" s="252" t="s">
        <v>559</v>
      </c>
      <c r="H149" s="255"/>
      <c r="I149" s="254">
        <v>6830</v>
      </c>
      <c r="J149" s="254">
        <v>6840</v>
      </c>
      <c r="K149" s="254">
        <v>6840</v>
      </c>
      <c r="L149" s="254">
        <v>6840</v>
      </c>
      <c r="M149" s="254">
        <v>6840</v>
      </c>
      <c r="N149" s="254">
        <v>6840</v>
      </c>
      <c r="O149" s="254">
        <v>6840</v>
      </c>
      <c r="P149" s="254">
        <v>6840</v>
      </c>
      <c r="Q149" s="254">
        <v>5130</v>
      </c>
      <c r="R149" s="254"/>
      <c r="S149" s="254"/>
      <c r="T149" s="254"/>
      <c r="U149" s="254"/>
      <c r="V149" s="254"/>
      <c r="W149" s="254"/>
      <c r="X149" s="281">
        <f t="shared" si="6"/>
        <v>59840</v>
      </c>
    </row>
    <row r="150" spans="1:24" s="169" customFormat="1" ht="11.25">
      <c r="A150" s="493"/>
      <c r="B150" s="148" t="s">
        <v>747</v>
      </c>
      <c r="C150" s="552"/>
      <c r="D150" s="527"/>
      <c r="E150" s="554"/>
      <c r="F150" s="556"/>
      <c r="G150" s="166">
        <v>0.03829</v>
      </c>
      <c r="H150" s="409">
        <v>1987.28</v>
      </c>
      <c r="I150" s="257">
        <v>3270</v>
      </c>
      <c r="J150" s="257">
        <v>2635</v>
      </c>
      <c r="K150" s="257">
        <v>2290</v>
      </c>
      <c r="L150" s="257">
        <v>1555</v>
      </c>
      <c r="M150" s="257">
        <v>1280</v>
      </c>
      <c r="N150" s="257">
        <v>1000</v>
      </c>
      <c r="O150" s="257">
        <v>725</v>
      </c>
      <c r="P150" s="257">
        <v>445</v>
      </c>
      <c r="Q150" s="257">
        <v>170</v>
      </c>
      <c r="R150" s="257"/>
      <c r="S150" s="257"/>
      <c r="T150" s="257"/>
      <c r="U150" s="257"/>
      <c r="V150" s="257"/>
      <c r="W150" s="257"/>
      <c r="X150" s="151">
        <f t="shared" si="6"/>
        <v>15357.279999999999</v>
      </c>
    </row>
    <row r="151" spans="1:24" s="169" customFormat="1" ht="11.25" customHeight="1">
      <c r="A151" s="492">
        <v>73</v>
      </c>
      <c r="B151" s="145" t="s">
        <v>556</v>
      </c>
      <c r="C151" s="551" t="s">
        <v>748</v>
      </c>
      <c r="D151" s="526">
        <v>708</v>
      </c>
      <c r="E151" s="553">
        <v>94375</v>
      </c>
      <c r="F151" s="555" t="s">
        <v>742</v>
      </c>
      <c r="G151" s="252" t="s">
        <v>559</v>
      </c>
      <c r="H151" s="255"/>
      <c r="I151" s="255">
        <v>10768</v>
      </c>
      <c r="J151" s="255">
        <v>10788</v>
      </c>
      <c r="K151" s="255">
        <v>10788</v>
      </c>
      <c r="L151" s="255">
        <v>10788</v>
      </c>
      <c r="M151" s="255">
        <v>10788</v>
      </c>
      <c r="N151" s="255">
        <v>10788</v>
      </c>
      <c r="O151" s="255">
        <v>10788</v>
      </c>
      <c r="P151" s="255">
        <v>10788</v>
      </c>
      <c r="Q151" s="255">
        <v>8091</v>
      </c>
      <c r="R151" s="254"/>
      <c r="S151" s="254"/>
      <c r="T151" s="254"/>
      <c r="U151" s="254"/>
      <c r="V151" s="254"/>
      <c r="W151" s="254"/>
      <c r="X151" s="281">
        <f t="shared" si="6"/>
        <v>94375</v>
      </c>
    </row>
    <row r="152" spans="1:24" s="169" customFormat="1" ht="11.25">
      <c r="A152" s="493"/>
      <c r="B152" s="148" t="s">
        <v>749</v>
      </c>
      <c r="C152" s="552"/>
      <c r="D152" s="527"/>
      <c r="E152" s="554"/>
      <c r="F152" s="556"/>
      <c r="G152" s="166">
        <v>0.03829</v>
      </c>
      <c r="H152" s="409">
        <v>3183.7</v>
      </c>
      <c r="I152" s="257">
        <v>5155</v>
      </c>
      <c r="J152" s="257">
        <v>4155</v>
      </c>
      <c r="K152" s="257">
        <v>3610</v>
      </c>
      <c r="L152" s="257">
        <v>2450</v>
      </c>
      <c r="M152" s="257">
        <v>2020</v>
      </c>
      <c r="N152" s="257">
        <v>1575</v>
      </c>
      <c r="O152" s="257">
        <v>1140</v>
      </c>
      <c r="P152" s="257">
        <v>700</v>
      </c>
      <c r="Q152" s="257">
        <v>265</v>
      </c>
      <c r="R152" s="257"/>
      <c r="S152" s="257"/>
      <c r="T152" s="257"/>
      <c r="U152" s="257"/>
      <c r="V152" s="257"/>
      <c r="W152" s="257"/>
      <c r="X152" s="151">
        <f t="shared" si="6"/>
        <v>24253.7</v>
      </c>
    </row>
    <row r="153" spans="1:24" s="169" customFormat="1" ht="18" customHeight="1">
      <c r="A153" s="492">
        <v>74</v>
      </c>
      <c r="B153" s="145" t="s">
        <v>556</v>
      </c>
      <c r="C153" s="551" t="s">
        <v>750</v>
      </c>
      <c r="D153" s="551">
        <v>709</v>
      </c>
      <c r="E153" s="553">
        <v>59072</v>
      </c>
      <c r="F153" s="555" t="s">
        <v>751</v>
      </c>
      <c r="G153" s="252" t="s">
        <v>559</v>
      </c>
      <c r="H153" s="317">
        <v>59072</v>
      </c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6"/>
      <c r="X153" s="281">
        <f t="shared" si="6"/>
        <v>59072</v>
      </c>
    </row>
    <row r="154" spans="1:24" s="169" customFormat="1" ht="16.5" customHeight="1">
      <c r="A154" s="493"/>
      <c r="B154" s="148" t="s">
        <v>752</v>
      </c>
      <c r="C154" s="552"/>
      <c r="D154" s="552"/>
      <c r="E154" s="554"/>
      <c r="F154" s="556"/>
      <c r="G154" s="166">
        <v>0.04235</v>
      </c>
      <c r="H154" s="409">
        <v>1605.25</v>
      </c>
      <c r="I154" s="257"/>
      <c r="J154" s="257"/>
      <c r="K154" s="257"/>
      <c r="L154" s="257"/>
      <c r="M154" s="257"/>
      <c r="N154" s="257"/>
      <c r="O154" s="257"/>
      <c r="P154" s="257"/>
      <c r="Q154" s="257"/>
      <c r="R154" s="257"/>
      <c r="S154" s="257"/>
      <c r="T154" s="257"/>
      <c r="U154" s="257"/>
      <c r="V154" s="257"/>
      <c r="W154" s="258"/>
      <c r="X154" s="151">
        <f t="shared" si="6"/>
        <v>1605.25</v>
      </c>
    </row>
    <row r="155" spans="1:24" s="169" customFormat="1" ht="17.25" customHeight="1">
      <c r="A155" s="492">
        <v>75</v>
      </c>
      <c r="B155" s="145" t="s">
        <v>556</v>
      </c>
      <c r="C155" s="551" t="s">
        <v>1002</v>
      </c>
      <c r="D155" s="551">
        <v>710</v>
      </c>
      <c r="E155" s="553">
        <v>680163</v>
      </c>
      <c r="F155" s="555" t="s">
        <v>753</v>
      </c>
      <c r="G155" s="252" t="s">
        <v>559</v>
      </c>
      <c r="H155" s="401"/>
      <c r="I155" s="254">
        <v>11859</v>
      </c>
      <c r="J155" s="254">
        <v>23868</v>
      </c>
      <c r="K155" s="254">
        <v>23868</v>
      </c>
      <c r="L155" s="254">
        <v>23868</v>
      </c>
      <c r="M155" s="254">
        <v>23868</v>
      </c>
      <c r="N155" s="254">
        <v>23868</v>
      </c>
      <c r="O155" s="254">
        <v>23868</v>
      </c>
      <c r="P155" s="254">
        <v>23868</v>
      </c>
      <c r="Q155" s="254">
        <v>23868</v>
      </c>
      <c r="R155" s="254">
        <v>23868</v>
      </c>
      <c r="S155" s="254">
        <v>23868</v>
      </c>
      <c r="T155" s="254">
        <v>23868</v>
      </c>
      <c r="U155" s="254">
        <v>23868</v>
      </c>
      <c r="V155" s="254">
        <v>23868</v>
      </c>
      <c r="W155" s="256">
        <v>358020</v>
      </c>
      <c r="X155" s="281">
        <f t="shared" si="6"/>
        <v>680163</v>
      </c>
    </row>
    <row r="156" spans="1:24" s="169" customFormat="1" ht="15.75" customHeight="1">
      <c r="A156" s="493"/>
      <c r="B156" s="148" t="s">
        <v>754</v>
      </c>
      <c r="C156" s="552"/>
      <c r="D156" s="552"/>
      <c r="E156" s="554"/>
      <c r="F156" s="556"/>
      <c r="G156" s="166">
        <v>0.05292</v>
      </c>
      <c r="H156" s="409">
        <v>21335.68</v>
      </c>
      <c r="I156" s="257">
        <v>41485</v>
      </c>
      <c r="J156" s="257">
        <v>33695</v>
      </c>
      <c r="K156" s="257">
        <v>32485</v>
      </c>
      <c r="L156" s="257">
        <v>25020</v>
      </c>
      <c r="M156" s="257">
        <v>24120</v>
      </c>
      <c r="N156" s="257">
        <v>23085</v>
      </c>
      <c r="O156" s="257">
        <v>22115</v>
      </c>
      <c r="P156" s="257">
        <v>21150</v>
      </c>
      <c r="Q156" s="257">
        <v>20235</v>
      </c>
      <c r="R156" s="257">
        <v>19215</v>
      </c>
      <c r="S156" s="257">
        <v>18245</v>
      </c>
      <c r="T156" s="257">
        <v>17275</v>
      </c>
      <c r="U156" s="257">
        <v>16355</v>
      </c>
      <c r="V156" s="257">
        <v>15340</v>
      </c>
      <c r="W156" s="258">
        <v>113995</v>
      </c>
      <c r="X156" s="151">
        <f t="shared" si="6"/>
        <v>465150.68</v>
      </c>
    </row>
    <row r="157" spans="1:24" s="169" customFormat="1" ht="11.25" customHeight="1">
      <c r="A157" s="492">
        <v>76</v>
      </c>
      <c r="B157" s="145" t="s">
        <v>556</v>
      </c>
      <c r="C157" s="551" t="s">
        <v>788</v>
      </c>
      <c r="D157" s="551">
        <v>711</v>
      </c>
      <c r="E157" s="553">
        <v>1581646</v>
      </c>
      <c r="F157" s="555" t="s">
        <v>789</v>
      </c>
      <c r="G157" s="252" t="s">
        <v>559</v>
      </c>
      <c r="H157" s="401"/>
      <c r="I157" s="254">
        <v>114788</v>
      </c>
      <c r="J157" s="254">
        <v>153112</v>
      </c>
      <c r="K157" s="254">
        <v>153112</v>
      </c>
      <c r="L157" s="254">
        <v>153112</v>
      </c>
      <c r="M157" s="254">
        <v>93802</v>
      </c>
      <c r="N157" s="254">
        <v>74032</v>
      </c>
      <c r="O157" s="254">
        <v>74032</v>
      </c>
      <c r="P157" s="254">
        <v>74032</v>
      </c>
      <c r="Q157" s="254">
        <v>74032</v>
      </c>
      <c r="R157" s="254">
        <v>40975</v>
      </c>
      <c r="S157" s="254">
        <v>29956</v>
      </c>
      <c r="T157" s="254">
        <v>29956</v>
      </c>
      <c r="U157" s="254">
        <v>29956</v>
      </c>
      <c r="V157" s="254">
        <v>29956</v>
      </c>
      <c r="W157" s="256">
        <v>456793</v>
      </c>
      <c r="X157" s="281">
        <f>SUM(H157:W157)</f>
        <v>1581646</v>
      </c>
    </row>
    <row r="158" spans="1:24" s="169" customFormat="1" ht="11.25">
      <c r="A158" s="493"/>
      <c r="B158" s="148" t="s">
        <v>790</v>
      </c>
      <c r="C158" s="552"/>
      <c r="D158" s="552"/>
      <c r="E158" s="554"/>
      <c r="F158" s="556"/>
      <c r="G158" s="166">
        <v>0.05486</v>
      </c>
      <c r="H158" s="409">
        <v>33687</v>
      </c>
      <c r="I158" s="257">
        <v>86780</v>
      </c>
      <c r="J158" s="257">
        <v>71450</v>
      </c>
      <c r="K158" s="257">
        <v>63690</v>
      </c>
      <c r="L158" s="257">
        <v>44740</v>
      </c>
      <c r="M158" s="257">
        <v>39245</v>
      </c>
      <c r="N158" s="257">
        <v>35930</v>
      </c>
      <c r="O158" s="257">
        <v>32930</v>
      </c>
      <c r="P158" s="257">
        <v>29925</v>
      </c>
      <c r="Q158" s="257">
        <v>27000</v>
      </c>
      <c r="R158" s="257">
        <v>24260</v>
      </c>
      <c r="S158" s="257">
        <v>22930</v>
      </c>
      <c r="T158" s="257">
        <v>21715</v>
      </c>
      <c r="U158" s="257">
        <v>20560</v>
      </c>
      <c r="V158" s="257">
        <v>19285</v>
      </c>
      <c r="W158" s="258">
        <v>143650</v>
      </c>
      <c r="X158" s="151">
        <f t="shared" si="6"/>
        <v>717777</v>
      </c>
    </row>
    <row r="159" spans="1:24" s="169" customFormat="1" ht="14.25" customHeight="1">
      <c r="A159" s="557">
        <v>77</v>
      </c>
      <c r="B159" s="145" t="s">
        <v>556</v>
      </c>
      <c r="C159" s="551" t="s">
        <v>755</v>
      </c>
      <c r="D159" s="551">
        <v>712</v>
      </c>
      <c r="E159" s="553">
        <v>149102</v>
      </c>
      <c r="F159" s="555" t="s">
        <v>800</v>
      </c>
      <c r="G159" s="267" t="s">
        <v>559</v>
      </c>
      <c r="H159" s="317">
        <f>4708.09</f>
        <v>4708.09</v>
      </c>
      <c r="I159" s="315">
        <v>16120</v>
      </c>
      <c r="J159" s="315">
        <v>16120</v>
      </c>
      <c r="K159" s="315">
        <v>16120</v>
      </c>
      <c r="L159" s="315">
        <v>16120</v>
      </c>
      <c r="M159" s="315">
        <v>16120</v>
      </c>
      <c r="N159" s="315">
        <v>16120</v>
      </c>
      <c r="O159" s="315">
        <v>16120</v>
      </c>
      <c r="P159" s="315">
        <v>16120</v>
      </c>
      <c r="Q159" s="315">
        <f>16120-686.09</f>
        <v>15433.91</v>
      </c>
      <c r="R159" s="315"/>
      <c r="S159" s="315"/>
      <c r="T159" s="315"/>
      <c r="U159" s="315"/>
      <c r="V159" s="315"/>
      <c r="W159" s="318"/>
      <c r="X159" s="281">
        <f aca="true" t="shared" si="7" ref="X159:X190">SUM(H159:W159)</f>
        <v>149102</v>
      </c>
    </row>
    <row r="160" spans="1:24" s="169" customFormat="1" ht="11.25">
      <c r="A160" s="558"/>
      <c r="B160" s="148" t="s">
        <v>799</v>
      </c>
      <c r="C160" s="552"/>
      <c r="D160" s="552"/>
      <c r="E160" s="554"/>
      <c r="F160" s="556"/>
      <c r="G160" s="166">
        <v>0.04988</v>
      </c>
      <c r="H160" s="416">
        <v>2085</v>
      </c>
      <c r="I160" s="316">
        <v>7025</v>
      </c>
      <c r="J160" s="316">
        <v>6200</v>
      </c>
      <c r="K160" s="316">
        <v>5380</v>
      </c>
      <c r="L160" s="316">
        <v>3650</v>
      </c>
      <c r="M160" s="316">
        <v>3005</v>
      </c>
      <c r="N160" s="316">
        <v>2345</v>
      </c>
      <c r="O160" s="316">
        <v>1690</v>
      </c>
      <c r="P160" s="316">
        <v>1035</v>
      </c>
      <c r="Q160" s="316">
        <v>385</v>
      </c>
      <c r="R160" s="316"/>
      <c r="S160" s="316"/>
      <c r="T160" s="316"/>
      <c r="U160" s="316"/>
      <c r="V160" s="316"/>
      <c r="W160" s="319"/>
      <c r="X160" s="151">
        <f t="shared" si="7"/>
        <v>32800</v>
      </c>
    </row>
    <row r="161" spans="1:24" s="169" customFormat="1" ht="18.75" customHeight="1">
      <c r="A161" s="492">
        <v>78</v>
      </c>
      <c r="B161" s="145" t="s">
        <v>556</v>
      </c>
      <c r="C161" s="551" t="s">
        <v>715</v>
      </c>
      <c r="D161" s="551">
        <v>713</v>
      </c>
      <c r="E161" s="553">
        <v>26000</v>
      </c>
      <c r="F161" s="555" t="s">
        <v>802</v>
      </c>
      <c r="G161" s="267" t="s">
        <v>559</v>
      </c>
      <c r="H161" s="403"/>
      <c r="I161" s="315">
        <v>6120</v>
      </c>
      <c r="J161" s="315">
        <v>6120</v>
      </c>
      <c r="K161" s="315">
        <v>6120</v>
      </c>
      <c r="L161" s="315">
        <v>6120</v>
      </c>
      <c r="M161" s="315">
        <v>1520</v>
      </c>
      <c r="N161" s="315"/>
      <c r="O161" s="315"/>
      <c r="P161" s="315"/>
      <c r="Q161" s="315"/>
      <c r="R161" s="315"/>
      <c r="S161" s="315"/>
      <c r="T161" s="315"/>
      <c r="U161" s="315"/>
      <c r="V161" s="315"/>
      <c r="W161" s="315"/>
      <c r="X161" s="281">
        <f t="shared" si="7"/>
        <v>26000</v>
      </c>
    </row>
    <row r="162" spans="1:24" s="169" customFormat="1" ht="15.75" customHeight="1">
      <c r="A162" s="493"/>
      <c r="B162" s="148" t="s">
        <v>801</v>
      </c>
      <c r="C162" s="552"/>
      <c r="D162" s="552"/>
      <c r="E162" s="554"/>
      <c r="F162" s="556"/>
      <c r="G162" s="166">
        <v>0.04571</v>
      </c>
      <c r="H162" s="416">
        <v>458.88</v>
      </c>
      <c r="I162" s="316">
        <v>1150</v>
      </c>
      <c r="J162" s="316">
        <v>895</v>
      </c>
      <c r="K162" s="316">
        <v>585</v>
      </c>
      <c r="L162" s="316">
        <v>220</v>
      </c>
      <c r="M162" s="316">
        <v>15</v>
      </c>
      <c r="N162" s="316"/>
      <c r="O162" s="316"/>
      <c r="P162" s="316"/>
      <c r="Q162" s="316"/>
      <c r="R162" s="316"/>
      <c r="S162" s="316"/>
      <c r="T162" s="316"/>
      <c r="U162" s="316"/>
      <c r="V162" s="316"/>
      <c r="W162" s="316"/>
      <c r="X162" s="151">
        <f t="shared" si="7"/>
        <v>3323.88</v>
      </c>
    </row>
    <row r="163" spans="1:24" s="169" customFormat="1" ht="19.5" customHeight="1">
      <c r="A163" s="557">
        <v>79</v>
      </c>
      <c r="B163" s="145" t="s">
        <v>556</v>
      </c>
      <c r="C163" s="551" t="s">
        <v>804</v>
      </c>
      <c r="D163" s="551">
        <v>714</v>
      </c>
      <c r="E163" s="553">
        <v>132405</v>
      </c>
      <c r="F163" s="555" t="s">
        <v>807</v>
      </c>
      <c r="G163" s="267" t="s">
        <v>559</v>
      </c>
      <c r="H163" s="403"/>
      <c r="I163" s="315">
        <v>0</v>
      </c>
      <c r="J163" s="315">
        <v>0</v>
      </c>
      <c r="K163" s="315">
        <v>7676</v>
      </c>
      <c r="L163" s="315">
        <v>7676</v>
      </c>
      <c r="M163" s="315">
        <v>7676</v>
      </c>
      <c r="N163" s="315">
        <v>7676</v>
      </c>
      <c r="O163" s="315">
        <v>7676</v>
      </c>
      <c r="P163" s="315">
        <v>7676</v>
      </c>
      <c r="Q163" s="315">
        <v>7676</v>
      </c>
      <c r="R163" s="315">
        <v>7676</v>
      </c>
      <c r="S163" s="315">
        <v>7676</v>
      </c>
      <c r="T163" s="315">
        <v>7676</v>
      </c>
      <c r="U163" s="315">
        <v>7676</v>
      </c>
      <c r="V163" s="315">
        <v>7676</v>
      </c>
      <c r="W163" s="315">
        <v>40293</v>
      </c>
      <c r="X163" s="281">
        <f t="shared" si="7"/>
        <v>132405</v>
      </c>
    </row>
    <row r="164" spans="1:24" s="169" customFormat="1" ht="15.75" customHeight="1">
      <c r="A164" s="558"/>
      <c r="B164" s="148" t="s">
        <v>803</v>
      </c>
      <c r="C164" s="552"/>
      <c r="D164" s="552"/>
      <c r="E164" s="554"/>
      <c r="F164" s="556"/>
      <c r="G164" s="166">
        <v>0.05411</v>
      </c>
      <c r="H164" s="416">
        <v>1831</v>
      </c>
      <c r="I164" s="316">
        <v>7345</v>
      </c>
      <c r="J164" s="316">
        <v>6720</v>
      </c>
      <c r="K164" s="316">
        <v>6570</v>
      </c>
      <c r="L164" s="316">
        <v>4945</v>
      </c>
      <c r="M164" s="316">
        <v>4645</v>
      </c>
      <c r="N164" s="316">
        <v>4320</v>
      </c>
      <c r="O164" s="316">
        <v>4010</v>
      </c>
      <c r="P164" s="316">
        <v>3700</v>
      </c>
      <c r="Q164" s="316">
        <v>3395</v>
      </c>
      <c r="R164" s="316">
        <v>3075</v>
      </c>
      <c r="S164" s="316">
        <v>2765</v>
      </c>
      <c r="T164" s="316">
        <v>2455</v>
      </c>
      <c r="U164" s="316">
        <v>2150</v>
      </c>
      <c r="V164" s="316">
        <v>1830</v>
      </c>
      <c r="W164" s="316">
        <v>4495</v>
      </c>
      <c r="X164" s="151">
        <f t="shared" si="7"/>
        <v>64251</v>
      </c>
    </row>
    <row r="165" spans="1:24" s="169" customFormat="1" ht="19.5" customHeight="1">
      <c r="A165" s="557">
        <v>80</v>
      </c>
      <c r="B165" s="145" t="s">
        <v>556</v>
      </c>
      <c r="C165" s="551" t="s">
        <v>806</v>
      </c>
      <c r="D165" s="551">
        <v>715</v>
      </c>
      <c r="E165" s="553">
        <v>579626</v>
      </c>
      <c r="F165" s="555" t="s">
        <v>807</v>
      </c>
      <c r="G165" s="267" t="s">
        <v>559</v>
      </c>
      <c r="H165" s="320">
        <f>8147.77</f>
        <v>8147.77</v>
      </c>
      <c r="I165" s="315"/>
      <c r="J165" s="315"/>
      <c r="K165" s="315">
        <v>33132</v>
      </c>
      <c r="L165" s="315">
        <v>33132</v>
      </c>
      <c r="M165" s="315">
        <v>33132</v>
      </c>
      <c r="N165" s="315">
        <v>33132</v>
      </c>
      <c r="O165" s="315">
        <v>33132</v>
      </c>
      <c r="P165" s="315">
        <v>33132</v>
      </c>
      <c r="Q165" s="315">
        <v>33132</v>
      </c>
      <c r="R165" s="315">
        <v>33132</v>
      </c>
      <c r="S165" s="315">
        <v>33132</v>
      </c>
      <c r="T165" s="315">
        <v>33132</v>
      </c>
      <c r="U165" s="315">
        <v>33132</v>
      </c>
      <c r="V165" s="315">
        <v>33132</v>
      </c>
      <c r="W165" s="321">
        <v>173894.23</v>
      </c>
      <c r="X165" s="281">
        <f t="shared" si="7"/>
        <v>579626</v>
      </c>
    </row>
    <row r="166" spans="1:24" s="169" customFormat="1" ht="15.75" customHeight="1">
      <c r="A166" s="558"/>
      <c r="B166" s="148" t="s">
        <v>805</v>
      </c>
      <c r="C166" s="552"/>
      <c r="D166" s="552"/>
      <c r="E166" s="554"/>
      <c r="F166" s="556"/>
      <c r="G166" s="166">
        <v>0.05411</v>
      </c>
      <c r="H166" s="416">
        <v>10582</v>
      </c>
      <c r="I166" s="316">
        <f>32150-450</f>
        <v>31700</v>
      </c>
      <c r="J166" s="316">
        <v>28975</v>
      </c>
      <c r="K166" s="316">
        <v>28345</v>
      </c>
      <c r="L166" s="316">
        <v>21330</v>
      </c>
      <c r="M166" s="316">
        <v>20045</v>
      </c>
      <c r="N166" s="316">
        <v>18645</v>
      </c>
      <c r="O166" s="316">
        <v>17300</v>
      </c>
      <c r="P166" s="316">
        <v>15955</v>
      </c>
      <c r="Q166" s="316">
        <v>14655</v>
      </c>
      <c r="R166" s="316">
        <v>13270</v>
      </c>
      <c r="S166" s="316">
        <v>11925</v>
      </c>
      <c r="T166" s="316">
        <v>10580</v>
      </c>
      <c r="U166" s="316">
        <v>9265</v>
      </c>
      <c r="V166" s="316">
        <v>7895</v>
      </c>
      <c r="W166" s="316">
        <v>19400</v>
      </c>
      <c r="X166" s="151">
        <f t="shared" si="7"/>
        <v>279867</v>
      </c>
    </row>
    <row r="167" spans="1:24" s="169" customFormat="1" ht="15" customHeight="1">
      <c r="A167" s="482">
        <v>81</v>
      </c>
      <c r="B167" s="145" t="s">
        <v>556</v>
      </c>
      <c r="C167" s="526" t="s">
        <v>1002</v>
      </c>
      <c r="D167" s="559">
        <v>716</v>
      </c>
      <c r="E167" s="561">
        <f>259372-5070.27</f>
        <v>254301.73</v>
      </c>
      <c r="F167" s="488" t="s">
        <v>960</v>
      </c>
      <c r="G167" s="322" t="s">
        <v>559</v>
      </c>
      <c r="H167" s="404"/>
      <c r="I167" s="269">
        <f>14410-282</f>
        <v>14128</v>
      </c>
      <c r="J167" s="268">
        <f>28820-564</f>
        <v>28256</v>
      </c>
      <c r="K167" s="268">
        <f aca="true" t="shared" si="8" ref="K167:Q167">28820-564</f>
        <v>28256</v>
      </c>
      <c r="L167" s="268">
        <f t="shared" si="8"/>
        <v>28256</v>
      </c>
      <c r="M167" s="268">
        <f t="shared" si="8"/>
        <v>28256</v>
      </c>
      <c r="N167" s="268">
        <f t="shared" si="8"/>
        <v>28256</v>
      </c>
      <c r="O167" s="268">
        <f t="shared" si="8"/>
        <v>28256</v>
      </c>
      <c r="P167" s="268">
        <f t="shared" si="8"/>
        <v>28256</v>
      </c>
      <c r="Q167" s="268">
        <f t="shared" si="8"/>
        <v>28256</v>
      </c>
      <c r="R167" s="268">
        <f>14402-276.27</f>
        <v>14125.73</v>
      </c>
      <c r="S167" s="268"/>
      <c r="T167" s="268"/>
      <c r="U167" s="268"/>
      <c r="V167" s="268"/>
      <c r="W167" s="323"/>
      <c r="X167" s="324">
        <f t="shared" si="7"/>
        <v>254301.73</v>
      </c>
    </row>
    <row r="168" spans="1:24" s="169" customFormat="1" ht="17.25" customHeight="1">
      <c r="A168" s="483"/>
      <c r="B168" s="148" t="s">
        <v>961</v>
      </c>
      <c r="C168" s="527"/>
      <c r="D168" s="560"/>
      <c r="E168" s="562"/>
      <c r="F168" s="489"/>
      <c r="G168" s="179">
        <v>0.05097</v>
      </c>
      <c r="H168" s="417">
        <v>4183.64</v>
      </c>
      <c r="I168" s="270">
        <v>13600</v>
      </c>
      <c r="J168" s="270">
        <v>11640</v>
      </c>
      <c r="K168" s="270">
        <v>10210</v>
      </c>
      <c r="L168" s="270">
        <v>7020</v>
      </c>
      <c r="M168" s="270">
        <v>5890</v>
      </c>
      <c r="N168" s="270">
        <v>4730</v>
      </c>
      <c r="O168" s="270">
        <v>3585</v>
      </c>
      <c r="P168" s="270">
        <v>2435</v>
      </c>
      <c r="Q168" s="270">
        <v>1295</v>
      </c>
      <c r="R168" s="270">
        <v>215</v>
      </c>
      <c r="S168" s="270"/>
      <c r="T168" s="270"/>
      <c r="U168" s="270"/>
      <c r="V168" s="270"/>
      <c r="W168" s="325"/>
      <c r="X168" s="326">
        <f t="shared" si="7"/>
        <v>64803.64</v>
      </c>
    </row>
    <row r="169" spans="1:24" s="169" customFormat="1" ht="11.25">
      <c r="A169" s="557">
        <v>82</v>
      </c>
      <c r="B169" s="145" t="s">
        <v>556</v>
      </c>
      <c r="C169" s="551" t="s">
        <v>788</v>
      </c>
      <c r="D169" s="551">
        <v>717</v>
      </c>
      <c r="E169" s="553">
        <v>715871</v>
      </c>
      <c r="F169" s="555" t="s">
        <v>962</v>
      </c>
      <c r="G169" s="252" t="s">
        <v>559</v>
      </c>
      <c r="H169" s="419"/>
      <c r="I169" s="146">
        <v>28000</v>
      </c>
      <c r="J169" s="327">
        <v>108060</v>
      </c>
      <c r="K169" s="146">
        <v>108060</v>
      </c>
      <c r="L169" s="146">
        <v>108060</v>
      </c>
      <c r="M169" s="146">
        <v>37120</v>
      </c>
      <c r="N169" s="146">
        <v>13468</v>
      </c>
      <c r="O169" s="146">
        <v>13468</v>
      </c>
      <c r="P169" s="146">
        <v>13468</v>
      </c>
      <c r="Q169" s="146">
        <v>13468</v>
      </c>
      <c r="R169" s="146">
        <v>13468</v>
      </c>
      <c r="S169" s="146">
        <v>13468</v>
      </c>
      <c r="T169" s="146">
        <v>13468</v>
      </c>
      <c r="U169" s="146">
        <v>13468</v>
      </c>
      <c r="V169" s="146">
        <v>13468</v>
      </c>
      <c r="W169" s="146">
        <v>205359</v>
      </c>
      <c r="X169" s="281">
        <f t="shared" si="7"/>
        <v>715871</v>
      </c>
    </row>
    <row r="170" spans="1:24" s="169" customFormat="1" ht="11.25">
      <c r="A170" s="558"/>
      <c r="B170" s="148" t="s">
        <v>963</v>
      </c>
      <c r="C170" s="552"/>
      <c r="D170" s="552"/>
      <c r="E170" s="554"/>
      <c r="F170" s="556"/>
      <c r="G170" s="166">
        <v>0.06036</v>
      </c>
      <c r="H170" s="418">
        <v>11647</v>
      </c>
      <c r="I170" s="150">
        <v>39870</v>
      </c>
      <c r="J170" s="150">
        <v>32820</v>
      </c>
      <c r="K170" s="150">
        <v>27340</v>
      </c>
      <c r="L170" s="150">
        <v>17490</v>
      </c>
      <c r="M170" s="150">
        <v>13865</v>
      </c>
      <c r="N170" s="150">
        <v>13040</v>
      </c>
      <c r="O170" s="150">
        <v>12495</v>
      </c>
      <c r="P170" s="150">
        <v>11950</v>
      </c>
      <c r="Q170" s="150">
        <v>11435</v>
      </c>
      <c r="R170" s="150">
        <v>10855</v>
      </c>
      <c r="S170" s="150">
        <v>10310</v>
      </c>
      <c r="T170" s="150">
        <v>9765</v>
      </c>
      <c r="U170" s="150">
        <v>9245</v>
      </c>
      <c r="V170" s="150">
        <v>8670</v>
      </c>
      <c r="W170" s="150">
        <v>64590</v>
      </c>
      <c r="X170" s="151">
        <f t="shared" si="7"/>
        <v>305387</v>
      </c>
    </row>
    <row r="171" spans="1:24" s="169" customFormat="1" ht="11.25" customHeight="1">
      <c r="A171" s="515">
        <v>83</v>
      </c>
      <c r="B171" s="184"/>
      <c r="C171" s="509" t="s">
        <v>1006</v>
      </c>
      <c r="D171" s="509"/>
      <c r="E171" s="517">
        <v>6035628</v>
      </c>
      <c r="F171" s="513" t="s">
        <v>756</v>
      </c>
      <c r="G171" s="176" t="s">
        <v>559</v>
      </c>
      <c r="H171" s="183"/>
      <c r="I171" s="177"/>
      <c r="J171" s="183"/>
      <c r="K171" s="177">
        <v>5000</v>
      </c>
      <c r="L171" s="177">
        <v>120000</v>
      </c>
      <c r="M171" s="177">
        <v>200000</v>
      </c>
      <c r="N171" s="177">
        <v>233088</v>
      </c>
      <c r="O171" s="177">
        <v>233088</v>
      </c>
      <c r="P171" s="177">
        <v>233088</v>
      </c>
      <c r="Q171" s="177">
        <v>233088</v>
      </c>
      <c r="R171" s="177">
        <v>233088</v>
      </c>
      <c r="S171" s="177">
        <v>233088</v>
      </c>
      <c r="T171" s="177">
        <v>233088</v>
      </c>
      <c r="U171" s="177">
        <v>233088</v>
      </c>
      <c r="V171" s="177">
        <v>233088</v>
      </c>
      <c r="W171" s="177">
        <v>3612836</v>
      </c>
      <c r="X171" s="281">
        <f t="shared" si="7"/>
        <v>6035628</v>
      </c>
    </row>
    <row r="172" spans="1:24" s="169" customFormat="1" ht="11.25">
      <c r="A172" s="516"/>
      <c r="B172" s="182"/>
      <c r="C172" s="510"/>
      <c r="D172" s="510"/>
      <c r="E172" s="518"/>
      <c r="F172" s="514"/>
      <c r="G172" s="179">
        <v>0.05834</v>
      </c>
      <c r="H172" s="420">
        <v>34195</v>
      </c>
      <c r="I172" s="180">
        <v>245660</v>
      </c>
      <c r="J172" s="180">
        <v>336575</v>
      </c>
      <c r="K172" s="180">
        <v>336535</v>
      </c>
      <c r="L172" s="180">
        <v>333780</v>
      </c>
      <c r="M172" s="180">
        <v>326310</v>
      </c>
      <c r="N172" s="180">
        <v>313570</v>
      </c>
      <c r="O172" s="180">
        <v>300575</v>
      </c>
      <c r="P172" s="180">
        <v>287575</v>
      </c>
      <c r="Q172" s="180">
        <v>275335</v>
      </c>
      <c r="R172" s="180">
        <v>261580</v>
      </c>
      <c r="S172" s="180">
        <v>248580</v>
      </c>
      <c r="T172" s="180">
        <v>235585</v>
      </c>
      <c r="U172" s="180">
        <v>223200</v>
      </c>
      <c r="V172" s="180">
        <v>209590</v>
      </c>
      <c r="W172" s="180">
        <v>1587500</v>
      </c>
      <c r="X172" s="151">
        <f t="shared" si="7"/>
        <v>5556145</v>
      </c>
    </row>
    <row r="173" spans="1:24" s="169" customFormat="1" ht="11.25">
      <c r="A173" s="515">
        <v>84</v>
      </c>
      <c r="B173" s="184"/>
      <c r="C173" s="509" t="s">
        <v>757</v>
      </c>
      <c r="D173" s="509"/>
      <c r="E173" s="517">
        <v>215004</v>
      </c>
      <c r="F173" s="513" t="s">
        <v>756</v>
      </c>
      <c r="G173" s="176" t="s">
        <v>559</v>
      </c>
      <c r="H173" s="183"/>
      <c r="I173" s="177"/>
      <c r="J173" s="183"/>
      <c r="K173" s="177">
        <v>1500</v>
      </c>
      <c r="L173" s="177">
        <v>13140</v>
      </c>
      <c r="M173" s="177">
        <v>13140</v>
      </c>
      <c r="N173" s="177">
        <v>13140</v>
      </c>
      <c r="O173" s="177">
        <v>13140</v>
      </c>
      <c r="P173" s="177">
        <v>13140</v>
      </c>
      <c r="Q173" s="177">
        <v>13140</v>
      </c>
      <c r="R173" s="177">
        <v>13140</v>
      </c>
      <c r="S173" s="177">
        <v>13140</v>
      </c>
      <c r="T173" s="177">
        <v>13140</v>
      </c>
      <c r="U173" s="177">
        <v>13140</v>
      </c>
      <c r="V173" s="177">
        <v>13140</v>
      </c>
      <c r="W173" s="177">
        <v>68964</v>
      </c>
      <c r="X173" s="281">
        <f t="shared" si="7"/>
        <v>215004</v>
      </c>
    </row>
    <row r="174" spans="1:24" s="169" customFormat="1" ht="11.25">
      <c r="A174" s="516"/>
      <c r="B174" s="182"/>
      <c r="C174" s="510"/>
      <c r="D174" s="510"/>
      <c r="E174" s="518"/>
      <c r="F174" s="514"/>
      <c r="G174" s="179">
        <v>0.05611</v>
      </c>
      <c r="H174" s="420">
        <v>4505</v>
      </c>
      <c r="I174" s="180">
        <v>11270</v>
      </c>
      <c r="J174" s="180">
        <v>10900</v>
      </c>
      <c r="K174" s="180">
        <v>10885</v>
      </c>
      <c r="L174" s="180">
        <v>10575</v>
      </c>
      <c r="M174" s="180">
        <v>9935</v>
      </c>
      <c r="N174" s="180">
        <v>9245</v>
      </c>
      <c r="O174" s="180">
        <v>8580</v>
      </c>
      <c r="P174" s="180">
        <v>7910</v>
      </c>
      <c r="Q174" s="180">
        <v>7265</v>
      </c>
      <c r="R174" s="180">
        <v>6580</v>
      </c>
      <c r="S174" s="180">
        <v>5915</v>
      </c>
      <c r="T174" s="180">
        <v>5245</v>
      </c>
      <c r="U174" s="180">
        <v>4595</v>
      </c>
      <c r="V174" s="180">
        <v>3915</v>
      </c>
      <c r="W174" s="180">
        <v>9620</v>
      </c>
      <c r="X174" s="151">
        <f t="shared" si="7"/>
        <v>126940</v>
      </c>
    </row>
    <row r="175" spans="1:24" s="169" customFormat="1" ht="11.25" customHeight="1">
      <c r="A175" s="557">
        <v>85</v>
      </c>
      <c r="B175" s="145" t="s">
        <v>556</v>
      </c>
      <c r="C175" s="551" t="s">
        <v>511</v>
      </c>
      <c r="D175" s="551"/>
      <c r="E175" s="553">
        <v>741015</v>
      </c>
      <c r="F175" s="555" t="s">
        <v>990</v>
      </c>
      <c r="G175" s="267" t="s">
        <v>559</v>
      </c>
      <c r="H175" s="327"/>
      <c r="I175" s="146"/>
      <c r="J175" s="327"/>
      <c r="K175" s="146">
        <v>2000</v>
      </c>
      <c r="L175" s="146">
        <v>38004</v>
      </c>
      <c r="M175" s="146">
        <v>38004</v>
      </c>
      <c r="N175" s="146">
        <v>38004</v>
      </c>
      <c r="O175" s="146">
        <v>38004</v>
      </c>
      <c r="P175" s="146">
        <v>38004</v>
      </c>
      <c r="Q175" s="146">
        <v>38004</v>
      </c>
      <c r="R175" s="146">
        <v>38004</v>
      </c>
      <c r="S175" s="146">
        <v>38004</v>
      </c>
      <c r="T175" s="146">
        <v>38004</v>
      </c>
      <c r="U175" s="146">
        <v>38004</v>
      </c>
      <c r="V175" s="146">
        <v>38004</v>
      </c>
      <c r="W175" s="146">
        <f>323025-2054</f>
        <v>320971</v>
      </c>
      <c r="X175" s="281">
        <f t="shared" si="7"/>
        <v>741015</v>
      </c>
    </row>
    <row r="176" spans="1:24" s="169" customFormat="1" ht="11.25">
      <c r="A176" s="558"/>
      <c r="B176" s="148" t="s">
        <v>989</v>
      </c>
      <c r="C176" s="552"/>
      <c r="D176" s="552"/>
      <c r="E176" s="554"/>
      <c r="F176" s="556"/>
      <c r="G176" s="166">
        <v>0.05694</v>
      </c>
      <c r="H176" s="421">
        <v>10815</v>
      </c>
      <c r="I176" s="150">
        <v>42650</v>
      </c>
      <c r="J176" s="150">
        <v>41440</v>
      </c>
      <c r="K176" s="150">
        <v>41425</v>
      </c>
      <c r="L176" s="150">
        <v>40530</v>
      </c>
      <c r="M176" s="150">
        <v>38520</v>
      </c>
      <c r="N176" s="150">
        <v>36295</v>
      </c>
      <c r="O176" s="150">
        <v>34175</v>
      </c>
      <c r="P176" s="150">
        <v>32055</v>
      </c>
      <c r="Q176" s="150">
        <v>30020</v>
      </c>
      <c r="R176" s="150">
        <v>27815</v>
      </c>
      <c r="S176" s="150">
        <v>25695</v>
      </c>
      <c r="T176" s="150">
        <v>23580</v>
      </c>
      <c r="U176" s="150">
        <v>21520</v>
      </c>
      <c r="V176" s="150">
        <v>19340</v>
      </c>
      <c r="W176" s="150">
        <v>78850</v>
      </c>
      <c r="X176" s="151">
        <f t="shared" si="7"/>
        <v>544725</v>
      </c>
    </row>
    <row r="177" spans="1:24" s="169" customFormat="1" ht="11.25" customHeight="1">
      <c r="A177" s="482">
        <v>86</v>
      </c>
      <c r="B177" s="184"/>
      <c r="C177" s="509" t="s">
        <v>1007</v>
      </c>
      <c r="D177" s="509"/>
      <c r="E177" s="517">
        <v>1170000</v>
      </c>
      <c r="F177" s="513" t="s">
        <v>756</v>
      </c>
      <c r="G177" s="176" t="s">
        <v>559</v>
      </c>
      <c r="H177" s="183"/>
      <c r="I177" s="177"/>
      <c r="J177" s="183"/>
      <c r="K177" s="177">
        <v>13000</v>
      </c>
      <c r="L177" s="177">
        <v>35000</v>
      </c>
      <c r="M177" s="177">
        <v>44000</v>
      </c>
      <c r="N177" s="177">
        <v>44000</v>
      </c>
      <c r="O177" s="177">
        <v>44000</v>
      </c>
      <c r="P177" s="177">
        <v>44000</v>
      </c>
      <c r="Q177" s="177">
        <v>44000</v>
      </c>
      <c r="R177" s="177">
        <v>44000</v>
      </c>
      <c r="S177" s="177">
        <v>44000</v>
      </c>
      <c r="T177" s="177">
        <v>44000</v>
      </c>
      <c r="U177" s="177">
        <v>44000</v>
      </c>
      <c r="V177" s="177">
        <v>44000</v>
      </c>
      <c r="W177" s="177">
        <v>682000</v>
      </c>
      <c r="X177" s="281">
        <f t="shared" si="7"/>
        <v>1170000</v>
      </c>
    </row>
    <row r="178" spans="1:24" s="169" customFormat="1" ht="11.25">
      <c r="A178" s="483"/>
      <c r="B178" s="182"/>
      <c r="C178" s="510"/>
      <c r="D178" s="510"/>
      <c r="E178" s="518"/>
      <c r="F178" s="514"/>
      <c r="G178" s="179">
        <v>0.05778</v>
      </c>
      <c r="H178" s="420">
        <v>24580</v>
      </c>
      <c r="I178" s="180">
        <v>64105</v>
      </c>
      <c r="J178" s="180">
        <v>59315</v>
      </c>
      <c r="K178" s="180">
        <v>59230</v>
      </c>
      <c r="L178" s="180">
        <v>58105</v>
      </c>
      <c r="M178" s="180">
        <v>56200</v>
      </c>
      <c r="N178" s="180">
        <v>53815</v>
      </c>
      <c r="O178" s="180">
        <v>51585</v>
      </c>
      <c r="P178" s="180">
        <v>49355</v>
      </c>
      <c r="Q178" s="180">
        <v>47250</v>
      </c>
      <c r="R178" s="180">
        <v>44900</v>
      </c>
      <c r="S178" s="180">
        <v>42660</v>
      </c>
      <c r="T178" s="180">
        <v>40430</v>
      </c>
      <c r="U178" s="180">
        <v>38305</v>
      </c>
      <c r="V178" s="180">
        <v>35970</v>
      </c>
      <c r="W178" s="180">
        <v>272435</v>
      </c>
      <c r="X178" s="151">
        <f t="shared" si="7"/>
        <v>998240</v>
      </c>
    </row>
    <row r="179" spans="1:24" s="169" customFormat="1" ht="11.25" customHeight="1">
      <c r="A179" s="482">
        <v>87</v>
      </c>
      <c r="B179" s="184"/>
      <c r="C179" s="563" t="s">
        <v>490</v>
      </c>
      <c r="D179" s="509"/>
      <c r="E179" s="517">
        <v>1500000</v>
      </c>
      <c r="F179" s="513" t="s">
        <v>756</v>
      </c>
      <c r="G179" s="176" t="s">
        <v>559</v>
      </c>
      <c r="H179" s="269"/>
      <c r="I179" s="268"/>
      <c r="J179" s="269"/>
      <c r="K179" s="268">
        <v>13000</v>
      </c>
      <c r="L179" s="268">
        <v>40000</v>
      </c>
      <c r="M179" s="268">
        <v>56744</v>
      </c>
      <c r="N179" s="268">
        <v>56744</v>
      </c>
      <c r="O179" s="268">
        <v>56744</v>
      </c>
      <c r="P179" s="268">
        <v>56744</v>
      </c>
      <c r="Q179" s="268">
        <v>56744</v>
      </c>
      <c r="R179" s="268">
        <v>56744</v>
      </c>
      <c r="S179" s="268">
        <v>56744</v>
      </c>
      <c r="T179" s="268">
        <v>56744</v>
      </c>
      <c r="U179" s="268">
        <v>56744</v>
      </c>
      <c r="V179" s="268">
        <v>56744</v>
      </c>
      <c r="W179" s="268">
        <v>879560</v>
      </c>
      <c r="X179" s="281">
        <f t="shared" si="7"/>
        <v>1500000</v>
      </c>
    </row>
    <row r="180" spans="1:24" s="169" customFormat="1" ht="11.25">
      <c r="A180" s="483"/>
      <c r="B180" s="182"/>
      <c r="C180" s="564"/>
      <c r="D180" s="510"/>
      <c r="E180" s="518"/>
      <c r="F180" s="514"/>
      <c r="G180" s="179">
        <v>0.05905</v>
      </c>
      <c r="H180" s="417">
        <v>14650</v>
      </c>
      <c r="I180" s="270">
        <v>79040</v>
      </c>
      <c r="J180" s="270">
        <v>76045</v>
      </c>
      <c r="K180" s="270">
        <v>75960</v>
      </c>
      <c r="L180" s="270">
        <v>74625</v>
      </c>
      <c r="M180" s="270">
        <v>72475</v>
      </c>
      <c r="N180" s="270">
        <v>69400</v>
      </c>
      <c r="O180" s="270">
        <v>66525</v>
      </c>
      <c r="P180" s="270">
        <v>63650</v>
      </c>
      <c r="Q180" s="270">
        <v>60940</v>
      </c>
      <c r="R180" s="270">
        <v>57895</v>
      </c>
      <c r="S180" s="270">
        <v>55020</v>
      </c>
      <c r="T180" s="270">
        <v>52140</v>
      </c>
      <c r="U180" s="270">
        <v>49400</v>
      </c>
      <c r="V180" s="270">
        <v>46390</v>
      </c>
      <c r="W180" s="270">
        <v>351365</v>
      </c>
      <c r="X180" s="151">
        <f t="shared" si="7"/>
        <v>1265520</v>
      </c>
    </row>
    <row r="181" spans="1:24" s="169" customFormat="1" ht="11.25">
      <c r="A181" s="482">
        <v>88</v>
      </c>
      <c r="B181" s="184"/>
      <c r="C181" s="563" t="s">
        <v>792</v>
      </c>
      <c r="D181" s="509"/>
      <c r="E181" s="517">
        <v>1689037</v>
      </c>
      <c r="F181" s="513" t="s">
        <v>756</v>
      </c>
      <c r="G181" s="176" t="s">
        <v>559</v>
      </c>
      <c r="H181" s="269"/>
      <c r="I181" s="268"/>
      <c r="J181" s="269"/>
      <c r="K181" s="268">
        <v>9000</v>
      </c>
      <c r="L181" s="268">
        <v>40000</v>
      </c>
      <c r="M181" s="268">
        <v>52000</v>
      </c>
      <c r="N181" s="268">
        <v>80408</v>
      </c>
      <c r="O181" s="268">
        <v>80408</v>
      </c>
      <c r="P181" s="268">
        <v>80408</v>
      </c>
      <c r="Q181" s="268">
        <v>80408</v>
      </c>
      <c r="R181" s="268">
        <v>80408</v>
      </c>
      <c r="S181" s="268">
        <v>80408</v>
      </c>
      <c r="T181" s="268">
        <v>80408</v>
      </c>
      <c r="U181" s="268">
        <v>80408</v>
      </c>
      <c r="V181" s="268">
        <v>80408</v>
      </c>
      <c r="W181" s="268">
        <v>864365</v>
      </c>
      <c r="X181" s="281">
        <f>SUM(H181:W181)</f>
        <v>1689037</v>
      </c>
    </row>
    <row r="182" spans="1:24" s="169" customFormat="1" ht="11.25">
      <c r="A182" s="483"/>
      <c r="B182" s="182"/>
      <c r="C182" s="564"/>
      <c r="D182" s="510"/>
      <c r="E182" s="518"/>
      <c r="F182" s="514"/>
      <c r="G182" s="179">
        <v>0.05611</v>
      </c>
      <c r="H182" s="417">
        <v>0</v>
      </c>
      <c r="I182" s="270">
        <v>76384</v>
      </c>
      <c r="J182" s="270">
        <v>85625</v>
      </c>
      <c r="K182" s="270">
        <v>85625</v>
      </c>
      <c r="L182" s="270">
        <v>84407</v>
      </c>
      <c r="M182" s="270">
        <v>82377</v>
      </c>
      <c r="N182" s="270">
        <v>78975</v>
      </c>
      <c r="O182" s="270">
        <v>74898</v>
      </c>
      <c r="P182" s="270">
        <v>70822</v>
      </c>
      <c r="Q182" s="270">
        <v>66930</v>
      </c>
      <c r="R182" s="270">
        <v>62670</v>
      </c>
      <c r="S182" s="270">
        <v>58593</v>
      </c>
      <c r="T182" s="270">
        <v>54517</v>
      </c>
      <c r="U182" s="270">
        <v>50581</v>
      </c>
      <c r="V182" s="270">
        <v>46365</v>
      </c>
      <c r="W182" s="270">
        <v>245977</v>
      </c>
      <c r="X182" s="151">
        <f t="shared" si="7"/>
        <v>1224746</v>
      </c>
    </row>
    <row r="183" spans="1:24" s="169" customFormat="1" ht="22.5" customHeight="1">
      <c r="A183" s="482">
        <v>89</v>
      </c>
      <c r="B183" s="184"/>
      <c r="C183" s="559" t="s">
        <v>794</v>
      </c>
      <c r="D183" s="559"/>
      <c r="E183" s="561">
        <v>607310</v>
      </c>
      <c r="F183" s="513" t="s">
        <v>756</v>
      </c>
      <c r="G183" s="176" t="s">
        <v>559</v>
      </c>
      <c r="H183" s="183"/>
      <c r="I183" s="183"/>
      <c r="J183" s="177"/>
      <c r="K183" s="177">
        <v>17862</v>
      </c>
      <c r="L183" s="177">
        <v>35724</v>
      </c>
      <c r="M183" s="177">
        <v>35724</v>
      </c>
      <c r="N183" s="177">
        <v>35724</v>
      </c>
      <c r="O183" s="177">
        <v>35724</v>
      </c>
      <c r="P183" s="177">
        <v>35724</v>
      </c>
      <c r="Q183" s="177">
        <v>35724</v>
      </c>
      <c r="R183" s="177">
        <v>35724</v>
      </c>
      <c r="S183" s="177">
        <v>35724</v>
      </c>
      <c r="T183" s="177">
        <v>35724</v>
      </c>
      <c r="U183" s="177">
        <v>35724</v>
      </c>
      <c r="V183" s="177">
        <v>35724</v>
      </c>
      <c r="W183" s="178">
        <v>196484</v>
      </c>
      <c r="X183" s="281">
        <f t="shared" si="7"/>
        <v>607310</v>
      </c>
    </row>
    <row r="184" spans="1:24" s="169" customFormat="1" ht="24" customHeight="1">
      <c r="A184" s="483"/>
      <c r="B184" s="182"/>
      <c r="C184" s="560"/>
      <c r="D184" s="560"/>
      <c r="E184" s="562"/>
      <c r="F184" s="514"/>
      <c r="G184" s="179">
        <v>0.05611</v>
      </c>
      <c r="H184" s="420">
        <v>2275</v>
      </c>
      <c r="I184" s="180">
        <v>29790</v>
      </c>
      <c r="J184" s="180">
        <v>30790</v>
      </c>
      <c r="K184" s="180">
        <v>30675</v>
      </c>
      <c r="L184" s="180">
        <v>29205</v>
      </c>
      <c r="M184" s="180">
        <v>27470</v>
      </c>
      <c r="N184" s="180">
        <v>25585</v>
      </c>
      <c r="O184" s="180">
        <v>23770</v>
      </c>
      <c r="P184" s="180">
        <v>21960</v>
      </c>
      <c r="Q184" s="180">
        <v>20205</v>
      </c>
      <c r="R184" s="180">
        <v>18340</v>
      </c>
      <c r="S184" s="180">
        <v>16525</v>
      </c>
      <c r="T184" s="180">
        <v>14715</v>
      </c>
      <c r="U184" s="180">
        <v>12940</v>
      </c>
      <c r="V184" s="180">
        <v>11100</v>
      </c>
      <c r="W184" s="181">
        <v>28655</v>
      </c>
      <c r="X184" s="151">
        <f t="shared" si="7"/>
        <v>344000</v>
      </c>
    </row>
    <row r="185" spans="1:24" s="266" customFormat="1" ht="11.25">
      <c r="A185" s="515">
        <v>90</v>
      </c>
      <c r="B185" s="184"/>
      <c r="C185" s="509" t="s">
        <v>967</v>
      </c>
      <c r="D185" s="509"/>
      <c r="E185" s="517">
        <v>196826.9</v>
      </c>
      <c r="F185" s="513" t="s">
        <v>756</v>
      </c>
      <c r="G185" s="322" t="s">
        <v>559</v>
      </c>
      <c r="H185" s="183"/>
      <c r="I185" s="177"/>
      <c r="J185" s="183"/>
      <c r="K185" s="177">
        <v>1000</v>
      </c>
      <c r="L185" s="177">
        <v>3000</v>
      </c>
      <c r="M185" s="177">
        <v>13442</v>
      </c>
      <c r="N185" s="177">
        <v>18884</v>
      </c>
      <c r="O185" s="177">
        <v>18884</v>
      </c>
      <c r="P185" s="177">
        <v>18884</v>
      </c>
      <c r="Q185" s="177">
        <v>18884</v>
      </c>
      <c r="R185" s="177">
        <v>18884</v>
      </c>
      <c r="S185" s="177">
        <v>18884</v>
      </c>
      <c r="T185" s="177">
        <v>18884</v>
      </c>
      <c r="U185" s="177">
        <v>18884</v>
      </c>
      <c r="V185" s="177">
        <v>18884</v>
      </c>
      <c r="W185" s="177">
        <v>9428.9</v>
      </c>
      <c r="X185" s="281">
        <f t="shared" si="7"/>
        <v>196826.9</v>
      </c>
    </row>
    <row r="186" spans="1:24" s="266" customFormat="1" ht="11.25">
      <c r="A186" s="516"/>
      <c r="B186" s="182"/>
      <c r="C186" s="510"/>
      <c r="D186" s="510"/>
      <c r="E186" s="518"/>
      <c r="F186" s="514"/>
      <c r="G186" s="179">
        <v>0.0554</v>
      </c>
      <c r="H186" s="420">
        <v>0</v>
      </c>
      <c r="I186" s="180">
        <v>11090</v>
      </c>
      <c r="J186" s="180">
        <v>9980</v>
      </c>
      <c r="K186" s="180">
        <v>9975</v>
      </c>
      <c r="L186" s="180">
        <v>7910</v>
      </c>
      <c r="M186" s="180">
        <v>7695</v>
      </c>
      <c r="N186" s="180">
        <v>6990</v>
      </c>
      <c r="O186" s="180">
        <v>6225</v>
      </c>
      <c r="P186" s="180">
        <v>5460</v>
      </c>
      <c r="Q186" s="180">
        <v>4705</v>
      </c>
      <c r="R186" s="180">
        <v>3925</v>
      </c>
      <c r="S186" s="180">
        <v>3160</v>
      </c>
      <c r="T186" s="180">
        <v>2395</v>
      </c>
      <c r="U186" s="180">
        <v>1635</v>
      </c>
      <c r="V186" s="180">
        <v>865</v>
      </c>
      <c r="W186" s="180">
        <v>145</v>
      </c>
      <c r="X186" s="151">
        <f t="shared" si="7"/>
        <v>82155</v>
      </c>
    </row>
    <row r="187" spans="1:24" s="266" customFormat="1" ht="18" customHeight="1">
      <c r="A187" s="557">
        <v>91</v>
      </c>
      <c r="B187" s="145"/>
      <c r="C187" s="509" t="s">
        <v>973</v>
      </c>
      <c r="D187" s="509"/>
      <c r="E187" s="517">
        <v>273339</v>
      </c>
      <c r="F187" s="513" t="s">
        <v>756</v>
      </c>
      <c r="G187" s="322" t="s">
        <v>559</v>
      </c>
      <c r="H187" s="183"/>
      <c r="I187" s="177"/>
      <c r="J187" s="177">
        <v>78096</v>
      </c>
      <c r="K187" s="177">
        <v>78096</v>
      </c>
      <c r="L187" s="177">
        <v>78096</v>
      </c>
      <c r="M187" s="177">
        <v>39051</v>
      </c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281">
        <f t="shared" si="7"/>
        <v>273339</v>
      </c>
    </row>
    <row r="188" spans="1:24" s="266" customFormat="1" ht="20.25" customHeight="1">
      <c r="A188" s="558"/>
      <c r="B188" s="148"/>
      <c r="C188" s="510"/>
      <c r="D188" s="510"/>
      <c r="E188" s="518"/>
      <c r="F188" s="514"/>
      <c r="G188" s="179">
        <v>0.04915</v>
      </c>
      <c r="H188" s="420">
        <v>0</v>
      </c>
      <c r="I188" s="180">
        <v>13660</v>
      </c>
      <c r="J188" s="180">
        <v>12375</v>
      </c>
      <c r="K188" s="180">
        <v>8415</v>
      </c>
      <c r="L188" s="180">
        <v>3565</v>
      </c>
      <c r="M188" s="180">
        <v>600</v>
      </c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51">
        <f t="shared" si="7"/>
        <v>38615</v>
      </c>
    </row>
    <row r="189" spans="1:24" s="169" customFormat="1" ht="19.5" customHeight="1">
      <c r="A189" s="515">
        <v>92</v>
      </c>
      <c r="B189" s="184"/>
      <c r="C189" s="509" t="s">
        <v>975</v>
      </c>
      <c r="D189" s="509"/>
      <c r="E189" s="517">
        <v>365652.35</v>
      </c>
      <c r="F189" s="513" t="s">
        <v>756</v>
      </c>
      <c r="G189" s="322" t="s">
        <v>559</v>
      </c>
      <c r="H189" s="183"/>
      <c r="I189" s="177"/>
      <c r="J189" s="183"/>
      <c r="K189" s="177">
        <v>1000</v>
      </c>
      <c r="L189" s="177">
        <v>3000</v>
      </c>
      <c r="M189" s="177">
        <v>13000</v>
      </c>
      <c r="N189" s="177">
        <v>24044</v>
      </c>
      <c r="O189" s="177">
        <v>24044</v>
      </c>
      <c r="P189" s="177">
        <v>24044</v>
      </c>
      <c r="Q189" s="177">
        <v>24044</v>
      </c>
      <c r="R189" s="177">
        <v>24044</v>
      </c>
      <c r="S189" s="177">
        <v>24044</v>
      </c>
      <c r="T189" s="177">
        <v>24044</v>
      </c>
      <c r="U189" s="177">
        <v>24044</v>
      </c>
      <c r="V189" s="177">
        <v>24044</v>
      </c>
      <c r="W189" s="177">
        <v>132256.35</v>
      </c>
      <c r="X189" s="281">
        <f t="shared" si="7"/>
        <v>365652.35</v>
      </c>
    </row>
    <row r="190" spans="1:24" s="169" customFormat="1" ht="18.75" customHeight="1">
      <c r="A190" s="516"/>
      <c r="B190" s="182"/>
      <c r="C190" s="510"/>
      <c r="D190" s="510"/>
      <c r="E190" s="518"/>
      <c r="F190" s="514"/>
      <c r="G190" s="179">
        <v>0.05815</v>
      </c>
      <c r="H190" s="420">
        <v>0</v>
      </c>
      <c r="I190" s="180">
        <v>21620</v>
      </c>
      <c r="J190" s="180">
        <v>18540</v>
      </c>
      <c r="K190" s="180">
        <v>18535</v>
      </c>
      <c r="L190" s="180">
        <v>14755</v>
      </c>
      <c r="M190" s="180">
        <v>14540</v>
      </c>
      <c r="N190" s="180">
        <v>13775</v>
      </c>
      <c r="O190" s="180">
        <v>12800</v>
      </c>
      <c r="P190" s="180">
        <v>11825</v>
      </c>
      <c r="Q190" s="180">
        <v>10880</v>
      </c>
      <c r="R190" s="180">
        <v>9875</v>
      </c>
      <c r="S190" s="180">
        <v>8900</v>
      </c>
      <c r="T190" s="180">
        <v>7925</v>
      </c>
      <c r="U190" s="180">
        <v>6970</v>
      </c>
      <c r="V190" s="180">
        <v>5975</v>
      </c>
      <c r="W190" s="180">
        <v>15430</v>
      </c>
      <c r="X190" s="151">
        <f t="shared" si="7"/>
        <v>192345</v>
      </c>
    </row>
    <row r="191" spans="1:24" s="169" customFormat="1" ht="18.75" customHeight="1">
      <c r="A191" s="515">
        <v>93</v>
      </c>
      <c r="B191" s="184"/>
      <c r="C191" s="509" t="s">
        <v>976</v>
      </c>
      <c r="D191" s="509"/>
      <c r="E191" s="517">
        <v>371580.33</v>
      </c>
      <c r="F191" s="513" t="s">
        <v>756</v>
      </c>
      <c r="G191" s="322" t="s">
        <v>559</v>
      </c>
      <c r="H191" s="183"/>
      <c r="I191" s="177"/>
      <c r="J191" s="183"/>
      <c r="K191" s="177">
        <v>1000</v>
      </c>
      <c r="L191" s="177">
        <v>3000</v>
      </c>
      <c r="M191" s="177">
        <v>13000</v>
      </c>
      <c r="N191" s="177">
        <v>22306</v>
      </c>
      <c r="O191" s="177">
        <v>24612</v>
      </c>
      <c r="P191" s="177">
        <v>24612</v>
      </c>
      <c r="Q191" s="177">
        <v>24612</v>
      </c>
      <c r="R191" s="177">
        <v>24612</v>
      </c>
      <c r="S191" s="177">
        <v>24612</v>
      </c>
      <c r="T191" s="177">
        <v>24612</v>
      </c>
      <c r="U191" s="177">
        <v>24612</v>
      </c>
      <c r="V191" s="177">
        <v>24612</v>
      </c>
      <c r="W191" s="177">
        <v>135378.33</v>
      </c>
      <c r="X191" s="281">
        <f>SUM(H191:W191)</f>
        <v>371580.32999999996</v>
      </c>
    </row>
    <row r="192" spans="1:24" s="169" customFormat="1" ht="18" customHeight="1">
      <c r="A192" s="516"/>
      <c r="B192" s="182"/>
      <c r="C192" s="510"/>
      <c r="D192" s="510"/>
      <c r="E192" s="518"/>
      <c r="F192" s="514"/>
      <c r="G192" s="179">
        <v>0.05815</v>
      </c>
      <c r="H192" s="420">
        <v>0</v>
      </c>
      <c r="I192" s="180">
        <v>21970</v>
      </c>
      <c r="J192" s="180">
        <v>18840</v>
      </c>
      <c r="K192" s="180">
        <v>18835</v>
      </c>
      <c r="L192" s="180">
        <v>14995</v>
      </c>
      <c r="M192" s="180">
        <v>14785</v>
      </c>
      <c r="N192" s="180">
        <v>14065</v>
      </c>
      <c r="O192" s="180">
        <v>13095</v>
      </c>
      <c r="P192" s="180">
        <v>12105</v>
      </c>
      <c r="Q192" s="180">
        <v>11140</v>
      </c>
      <c r="R192" s="180">
        <v>10110</v>
      </c>
      <c r="S192" s="180">
        <v>9110</v>
      </c>
      <c r="T192" s="180">
        <v>8115</v>
      </c>
      <c r="U192" s="180">
        <v>7135</v>
      </c>
      <c r="V192" s="180">
        <v>6115</v>
      </c>
      <c r="W192" s="180">
        <v>15795</v>
      </c>
      <c r="X192" s="151">
        <f>SUM(H192:W192)</f>
        <v>196210</v>
      </c>
    </row>
    <row r="193" spans="1:24" s="169" customFormat="1" ht="18" customHeight="1">
      <c r="A193" s="515">
        <v>94</v>
      </c>
      <c r="B193" s="184"/>
      <c r="C193" s="509" t="s">
        <v>974</v>
      </c>
      <c r="D193" s="509"/>
      <c r="E193" s="517">
        <v>440962.14</v>
      </c>
      <c r="F193" s="513" t="s">
        <v>756</v>
      </c>
      <c r="G193" s="322" t="s">
        <v>559</v>
      </c>
      <c r="H193" s="183"/>
      <c r="I193" s="177"/>
      <c r="J193" s="183"/>
      <c r="K193" s="177">
        <v>3592</v>
      </c>
      <c r="L193" s="177">
        <v>7184</v>
      </c>
      <c r="M193" s="177">
        <v>11184</v>
      </c>
      <c r="N193" s="177">
        <v>18184</v>
      </c>
      <c r="O193" s="177">
        <v>20184</v>
      </c>
      <c r="P193" s="177">
        <v>22184</v>
      </c>
      <c r="Q193" s="177">
        <v>28316</v>
      </c>
      <c r="R193" s="177">
        <v>26856.75</v>
      </c>
      <c r="S193" s="177">
        <v>24264</v>
      </c>
      <c r="T193" s="177">
        <v>24264</v>
      </c>
      <c r="U193" s="177">
        <v>24264</v>
      </c>
      <c r="V193" s="177">
        <v>24264</v>
      </c>
      <c r="W193" s="177">
        <v>206221.39</v>
      </c>
      <c r="X193" s="281">
        <f>SUM(H193:W193)</f>
        <v>440962.14</v>
      </c>
    </row>
    <row r="194" spans="1:24" s="169" customFormat="1" ht="18.75" customHeight="1">
      <c r="A194" s="516"/>
      <c r="B194" s="182"/>
      <c r="C194" s="510"/>
      <c r="D194" s="510"/>
      <c r="E194" s="518"/>
      <c r="F194" s="514"/>
      <c r="G194" s="179">
        <v>0.0592</v>
      </c>
      <c r="H194" s="420">
        <v>0</v>
      </c>
      <c r="I194" s="180">
        <v>24840</v>
      </c>
      <c r="J194" s="180">
        <v>22355</v>
      </c>
      <c r="K194" s="180">
        <v>22335</v>
      </c>
      <c r="L194" s="180">
        <v>17630</v>
      </c>
      <c r="M194" s="180">
        <v>17345</v>
      </c>
      <c r="N194" s="180">
        <v>16730</v>
      </c>
      <c r="O194" s="180">
        <v>15960</v>
      </c>
      <c r="P194" s="180">
        <v>15110</v>
      </c>
      <c r="Q194" s="180">
        <v>14160</v>
      </c>
      <c r="R194" s="180">
        <v>12955</v>
      </c>
      <c r="S194" s="180">
        <v>11935</v>
      </c>
      <c r="T194" s="180">
        <v>10950</v>
      </c>
      <c r="U194" s="180">
        <v>9990</v>
      </c>
      <c r="V194" s="180">
        <v>8980</v>
      </c>
      <c r="W194" s="180">
        <v>36610</v>
      </c>
      <c r="X194" s="151">
        <f>SUM(H194:W194)</f>
        <v>257885</v>
      </c>
    </row>
    <row r="195" spans="1:24" s="169" customFormat="1" ht="15.75" customHeight="1">
      <c r="A195" s="515">
        <v>95</v>
      </c>
      <c r="B195" s="184"/>
      <c r="C195" s="509" t="s">
        <v>977</v>
      </c>
      <c r="D195" s="509"/>
      <c r="E195" s="517">
        <v>394128.45</v>
      </c>
      <c r="F195" s="513" t="s">
        <v>756</v>
      </c>
      <c r="G195" s="322" t="s">
        <v>559</v>
      </c>
      <c r="H195" s="183"/>
      <c r="I195" s="177"/>
      <c r="J195" s="183"/>
      <c r="K195" s="177">
        <v>5610</v>
      </c>
      <c r="L195" s="177">
        <v>11220</v>
      </c>
      <c r="M195" s="177">
        <v>15220</v>
      </c>
      <c r="N195" s="177">
        <v>25220</v>
      </c>
      <c r="O195" s="177">
        <v>29220</v>
      </c>
      <c r="P195" s="177">
        <v>36324</v>
      </c>
      <c r="Q195" s="177">
        <v>36324</v>
      </c>
      <c r="R195" s="177">
        <v>31724.48</v>
      </c>
      <c r="S195" s="177">
        <v>27104</v>
      </c>
      <c r="T195" s="177">
        <v>27104</v>
      </c>
      <c r="U195" s="177">
        <v>27104</v>
      </c>
      <c r="V195" s="177">
        <v>27104</v>
      </c>
      <c r="W195" s="381">
        <v>94849.97</v>
      </c>
      <c r="X195" s="281">
        <f aca="true" t="shared" si="9" ref="X195:X210">SUM(H195:W195)</f>
        <v>394128.44999999995</v>
      </c>
    </row>
    <row r="196" spans="1:24" s="169" customFormat="1" ht="14.25" customHeight="1">
      <c r="A196" s="516"/>
      <c r="B196" s="182"/>
      <c r="C196" s="510"/>
      <c r="D196" s="510"/>
      <c r="E196" s="518"/>
      <c r="F196" s="514"/>
      <c r="G196" s="179">
        <v>0.05705</v>
      </c>
      <c r="H196" s="420">
        <v>0</v>
      </c>
      <c r="I196" s="180">
        <v>22200</v>
      </c>
      <c r="J196" s="180">
        <v>19985</v>
      </c>
      <c r="K196" s="180">
        <v>19945</v>
      </c>
      <c r="L196" s="180">
        <v>15590</v>
      </c>
      <c r="M196" s="180">
        <v>15135</v>
      </c>
      <c r="N196" s="180">
        <v>14305</v>
      </c>
      <c r="O196" s="180">
        <v>13220</v>
      </c>
      <c r="P196" s="180">
        <v>11925</v>
      </c>
      <c r="Q196" s="180">
        <v>10480</v>
      </c>
      <c r="R196" s="180">
        <v>9005</v>
      </c>
      <c r="S196" s="180">
        <v>7835</v>
      </c>
      <c r="T196" s="180">
        <v>6735</v>
      </c>
      <c r="U196" s="180">
        <v>5650</v>
      </c>
      <c r="V196" s="180">
        <v>4535</v>
      </c>
      <c r="W196" s="180">
        <v>7215</v>
      </c>
      <c r="X196" s="151">
        <f t="shared" si="9"/>
        <v>183760</v>
      </c>
    </row>
    <row r="197" spans="1:24" s="169" customFormat="1" ht="15.75" customHeight="1">
      <c r="A197" s="515">
        <v>96</v>
      </c>
      <c r="B197" s="184"/>
      <c r="C197" s="509" t="s">
        <v>972</v>
      </c>
      <c r="D197" s="509"/>
      <c r="E197" s="517">
        <v>148836</v>
      </c>
      <c r="F197" s="513" t="s">
        <v>756</v>
      </c>
      <c r="G197" s="322" t="s">
        <v>559</v>
      </c>
      <c r="H197" s="183"/>
      <c r="I197" s="177"/>
      <c r="J197" s="183"/>
      <c r="K197" s="177">
        <v>1000</v>
      </c>
      <c r="L197" s="177">
        <v>3000</v>
      </c>
      <c r="M197" s="177">
        <v>6000</v>
      </c>
      <c r="N197" s="177">
        <v>18512</v>
      </c>
      <c r="O197" s="177">
        <v>18512</v>
      </c>
      <c r="P197" s="177">
        <v>18512</v>
      </c>
      <c r="Q197" s="177">
        <v>18512</v>
      </c>
      <c r="R197" s="177">
        <v>18512</v>
      </c>
      <c r="S197" s="177">
        <v>18512</v>
      </c>
      <c r="T197" s="177">
        <v>18512</v>
      </c>
      <c r="U197" s="177">
        <v>9252</v>
      </c>
      <c r="V197" s="177"/>
      <c r="W197" s="177"/>
      <c r="X197" s="281">
        <f t="shared" si="9"/>
        <v>148836</v>
      </c>
    </row>
    <row r="198" spans="1:24" s="169" customFormat="1" ht="15" customHeight="1">
      <c r="A198" s="516"/>
      <c r="B198" s="182"/>
      <c r="C198" s="510"/>
      <c r="D198" s="510"/>
      <c r="E198" s="518"/>
      <c r="F198" s="514"/>
      <c r="G198" s="179">
        <v>0.0543</v>
      </c>
      <c r="H198" s="420">
        <v>0</v>
      </c>
      <c r="I198" s="180">
        <v>8220</v>
      </c>
      <c r="J198" s="180">
        <v>7550</v>
      </c>
      <c r="K198" s="180">
        <v>7540</v>
      </c>
      <c r="L198" s="180">
        <v>5960</v>
      </c>
      <c r="M198" s="180">
        <v>5820</v>
      </c>
      <c r="N198" s="180">
        <v>5350</v>
      </c>
      <c r="O198" s="180">
        <v>4600</v>
      </c>
      <c r="P198" s="180">
        <v>3850</v>
      </c>
      <c r="Q198" s="180">
        <v>3110</v>
      </c>
      <c r="R198" s="180">
        <v>2350</v>
      </c>
      <c r="S198" s="180">
        <v>1595</v>
      </c>
      <c r="T198" s="180">
        <v>845</v>
      </c>
      <c r="U198" s="180">
        <v>145</v>
      </c>
      <c r="V198" s="180"/>
      <c r="W198" s="180"/>
      <c r="X198" s="151">
        <f t="shared" si="9"/>
        <v>56935</v>
      </c>
    </row>
    <row r="199" spans="1:24" s="169" customFormat="1" ht="11.25">
      <c r="A199" s="515">
        <v>97</v>
      </c>
      <c r="B199" s="184"/>
      <c r="C199" s="509" t="s">
        <v>982</v>
      </c>
      <c r="D199" s="509"/>
      <c r="E199" s="517">
        <v>5433326</v>
      </c>
      <c r="F199" s="513" t="s">
        <v>756</v>
      </c>
      <c r="G199" s="322" t="s">
        <v>559</v>
      </c>
      <c r="H199" s="183"/>
      <c r="I199" s="177"/>
      <c r="J199" s="183"/>
      <c r="K199" s="177">
        <v>15000</v>
      </c>
      <c r="L199" s="177">
        <v>50000</v>
      </c>
      <c r="M199" s="177">
        <v>80000</v>
      </c>
      <c r="N199" s="177">
        <v>120000</v>
      </c>
      <c r="O199" s="177">
        <v>200000</v>
      </c>
      <c r="P199" s="177">
        <v>218388</v>
      </c>
      <c r="Q199" s="177">
        <v>218388</v>
      </c>
      <c r="R199" s="177">
        <v>218388</v>
      </c>
      <c r="S199" s="177">
        <v>218388</v>
      </c>
      <c r="T199" s="177">
        <v>218388</v>
      </c>
      <c r="U199" s="177">
        <v>218388</v>
      </c>
      <c r="V199" s="177">
        <v>218388</v>
      </c>
      <c r="W199" s="177">
        <v>3439610</v>
      </c>
      <c r="X199" s="281">
        <f t="shared" si="9"/>
        <v>5433326</v>
      </c>
    </row>
    <row r="200" spans="1:24" s="169" customFormat="1" ht="11.25">
      <c r="A200" s="516"/>
      <c r="B200" s="182"/>
      <c r="C200" s="510"/>
      <c r="D200" s="510"/>
      <c r="E200" s="518"/>
      <c r="F200" s="514"/>
      <c r="G200" s="179">
        <v>0.06162</v>
      </c>
      <c r="H200" s="420">
        <v>0</v>
      </c>
      <c r="I200" s="180">
        <v>188770</v>
      </c>
      <c r="J200" s="180">
        <v>266105</v>
      </c>
      <c r="K200" s="180">
        <v>275376</v>
      </c>
      <c r="L200" s="180">
        <v>219083</v>
      </c>
      <c r="M200" s="180">
        <v>217092</v>
      </c>
      <c r="N200" s="180">
        <v>212645</v>
      </c>
      <c r="O200" s="180">
        <v>206560</v>
      </c>
      <c r="P200" s="180">
        <v>198169</v>
      </c>
      <c r="Q200" s="180">
        <v>189835</v>
      </c>
      <c r="R200" s="180">
        <v>180455</v>
      </c>
      <c r="S200" s="180">
        <v>171598</v>
      </c>
      <c r="T200" s="180">
        <v>162745</v>
      </c>
      <c r="U200" s="180">
        <v>154310</v>
      </c>
      <c r="V200" s="180">
        <v>145027</v>
      </c>
      <c r="W200" s="180">
        <v>1116641</v>
      </c>
      <c r="X200" s="151">
        <f t="shared" si="9"/>
        <v>3904411</v>
      </c>
    </row>
    <row r="201" spans="1:24" s="169" customFormat="1" ht="11.25" hidden="1">
      <c r="A201" s="515"/>
      <c r="B201" s="184"/>
      <c r="C201" s="509"/>
      <c r="D201" s="509"/>
      <c r="E201" s="517"/>
      <c r="F201" s="513"/>
      <c r="G201" s="322"/>
      <c r="H201" s="183"/>
      <c r="I201" s="177"/>
      <c r="J201" s="183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281">
        <f t="shared" si="9"/>
        <v>0</v>
      </c>
    </row>
    <row r="202" spans="1:24" s="169" customFormat="1" ht="11.25" hidden="1">
      <c r="A202" s="516"/>
      <c r="B202" s="182"/>
      <c r="C202" s="510"/>
      <c r="D202" s="510"/>
      <c r="E202" s="518"/>
      <c r="F202" s="514"/>
      <c r="G202" s="179"/>
      <c r="H202" s="42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51">
        <f t="shared" si="9"/>
        <v>0</v>
      </c>
    </row>
    <row r="203" spans="1:24" s="169" customFormat="1" ht="11.25" hidden="1">
      <c r="A203" s="515"/>
      <c r="B203" s="184"/>
      <c r="C203" s="509"/>
      <c r="D203" s="509"/>
      <c r="E203" s="511"/>
      <c r="F203" s="513"/>
      <c r="G203" s="322"/>
      <c r="H203" s="183"/>
      <c r="I203" s="328"/>
      <c r="J203" s="328"/>
      <c r="K203" s="328"/>
      <c r="L203" s="328"/>
      <c r="M203" s="328"/>
      <c r="N203" s="328"/>
      <c r="O203" s="328"/>
      <c r="P203" s="328"/>
      <c r="Q203" s="328"/>
      <c r="R203" s="328"/>
      <c r="S203" s="328"/>
      <c r="T203" s="328"/>
      <c r="U203" s="328"/>
      <c r="V203" s="328"/>
      <c r="W203" s="328"/>
      <c r="X203" s="281">
        <f t="shared" si="9"/>
        <v>0</v>
      </c>
    </row>
    <row r="204" spans="1:24" s="169" customFormat="1" ht="11.25" hidden="1">
      <c r="A204" s="516"/>
      <c r="B204" s="182"/>
      <c r="C204" s="510"/>
      <c r="D204" s="510"/>
      <c r="E204" s="512"/>
      <c r="F204" s="514"/>
      <c r="G204" s="185"/>
      <c r="H204" s="420"/>
      <c r="I204" s="329"/>
      <c r="J204" s="329"/>
      <c r="K204" s="329"/>
      <c r="L204" s="329"/>
      <c r="M204" s="329"/>
      <c r="N204" s="329"/>
      <c r="O204" s="329"/>
      <c r="P204" s="329"/>
      <c r="Q204" s="329"/>
      <c r="R204" s="329"/>
      <c r="S204" s="329"/>
      <c r="T204" s="329"/>
      <c r="U204" s="329"/>
      <c r="V204" s="329"/>
      <c r="W204" s="329"/>
      <c r="X204" s="151">
        <f t="shared" si="9"/>
        <v>0</v>
      </c>
    </row>
    <row r="205" spans="1:24" s="169" customFormat="1" ht="11.25" hidden="1">
      <c r="A205" s="515"/>
      <c r="B205" s="184"/>
      <c r="C205" s="509"/>
      <c r="D205" s="509"/>
      <c r="E205" s="511"/>
      <c r="F205" s="513"/>
      <c r="G205" s="322"/>
      <c r="H205" s="183"/>
      <c r="I205" s="328"/>
      <c r="J205" s="328"/>
      <c r="K205" s="328"/>
      <c r="L205" s="328"/>
      <c r="M205" s="328"/>
      <c r="N205" s="328"/>
      <c r="O205" s="328"/>
      <c r="P205" s="328"/>
      <c r="Q205" s="328"/>
      <c r="R205" s="328"/>
      <c r="S205" s="328"/>
      <c r="T205" s="328"/>
      <c r="U205" s="328"/>
      <c r="V205" s="328"/>
      <c r="W205" s="328"/>
      <c r="X205" s="281">
        <f t="shared" si="9"/>
        <v>0</v>
      </c>
    </row>
    <row r="206" spans="1:24" s="169" customFormat="1" ht="11.25" hidden="1">
      <c r="A206" s="516"/>
      <c r="B206" s="182"/>
      <c r="C206" s="510"/>
      <c r="D206" s="510"/>
      <c r="E206" s="512"/>
      <c r="F206" s="514"/>
      <c r="G206" s="185"/>
      <c r="H206" s="420"/>
      <c r="I206" s="329"/>
      <c r="J206" s="329"/>
      <c r="K206" s="329"/>
      <c r="L206" s="329"/>
      <c r="M206" s="329"/>
      <c r="N206" s="329"/>
      <c r="O206" s="329"/>
      <c r="P206" s="329"/>
      <c r="Q206" s="329"/>
      <c r="R206" s="329"/>
      <c r="S206" s="329"/>
      <c r="T206" s="329"/>
      <c r="U206" s="329"/>
      <c r="V206" s="329"/>
      <c r="W206" s="329"/>
      <c r="X206" s="151">
        <f t="shared" si="9"/>
        <v>0</v>
      </c>
    </row>
    <row r="207" spans="1:24" s="169" customFormat="1" ht="11.25" hidden="1">
      <c r="A207" s="515"/>
      <c r="B207" s="184"/>
      <c r="C207" s="509"/>
      <c r="D207" s="509"/>
      <c r="E207" s="511"/>
      <c r="F207" s="513"/>
      <c r="G207" s="322"/>
      <c r="H207" s="183"/>
      <c r="I207" s="328"/>
      <c r="J207" s="328"/>
      <c r="K207" s="328"/>
      <c r="L207" s="328"/>
      <c r="M207" s="328"/>
      <c r="N207" s="328"/>
      <c r="O207" s="328"/>
      <c r="P207" s="328"/>
      <c r="Q207" s="328"/>
      <c r="R207" s="328"/>
      <c r="S207" s="328"/>
      <c r="T207" s="328"/>
      <c r="U207" s="328"/>
      <c r="V207" s="328"/>
      <c r="W207" s="328"/>
      <c r="X207" s="281">
        <f t="shared" si="9"/>
        <v>0</v>
      </c>
    </row>
    <row r="208" spans="1:24" s="169" customFormat="1" ht="11.25" hidden="1">
      <c r="A208" s="516"/>
      <c r="B208" s="182"/>
      <c r="C208" s="510"/>
      <c r="D208" s="510"/>
      <c r="E208" s="512"/>
      <c r="F208" s="514"/>
      <c r="G208" s="185"/>
      <c r="H208" s="420"/>
      <c r="I208" s="329"/>
      <c r="J208" s="329"/>
      <c r="K208" s="329"/>
      <c r="L208" s="329"/>
      <c r="M208" s="329"/>
      <c r="N208" s="329"/>
      <c r="O208" s="329"/>
      <c r="P208" s="329"/>
      <c r="Q208" s="329"/>
      <c r="R208" s="329"/>
      <c r="S208" s="329"/>
      <c r="T208" s="329"/>
      <c r="U208" s="329"/>
      <c r="V208" s="329"/>
      <c r="W208" s="329"/>
      <c r="X208" s="151">
        <f t="shared" si="9"/>
        <v>0</v>
      </c>
    </row>
    <row r="209" spans="1:24" s="266" customFormat="1" ht="11.25" hidden="1">
      <c r="A209" s="515"/>
      <c r="B209" s="184"/>
      <c r="C209" s="509"/>
      <c r="D209" s="509"/>
      <c r="E209" s="511"/>
      <c r="F209" s="513"/>
      <c r="G209" s="322"/>
      <c r="H209" s="183"/>
      <c r="I209" s="328"/>
      <c r="J209" s="328"/>
      <c r="K209" s="328"/>
      <c r="L209" s="328"/>
      <c r="M209" s="328"/>
      <c r="N209" s="328"/>
      <c r="O209" s="328"/>
      <c r="P209" s="328"/>
      <c r="Q209" s="328"/>
      <c r="R209" s="328"/>
      <c r="S209" s="328"/>
      <c r="T209" s="328"/>
      <c r="U209" s="328"/>
      <c r="V209" s="328"/>
      <c r="W209" s="328"/>
      <c r="X209" s="281">
        <f t="shared" si="9"/>
        <v>0</v>
      </c>
    </row>
    <row r="210" spans="1:24" s="169" customFormat="1" ht="11.25" hidden="1">
      <c r="A210" s="516"/>
      <c r="B210" s="182"/>
      <c r="C210" s="510"/>
      <c r="D210" s="510"/>
      <c r="E210" s="512"/>
      <c r="F210" s="514"/>
      <c r="G210" s="185"/>
      <c r="H210" s="420"/>
      <c r="I210" s="329"/>
      <c r="J210" s="329"/>
      <c r="K210" s="329"/>
      <c r="L210" s="329"/>
      <c r="M210" s="329"/>
      <c r="N210" s="329"/>
      <c r="O210" s="329"/>
      <c r="P210" s="329"/>
      <c r="Q210" s="329"/>
      <c r="R210" s="329"/>
      <c r="S210" s="329"/>
      <c r="T210" s="329"/>
      <c r="U210" s="329"/>
      <c r="V210" s="329"/>
      <c r="W210" s="329"/>
      <c r="X210" s="151">
        <f t="shared" si="9"/>
        <v>0</v>
      </c>
    </row>
    <row r="211" spans="1:24" s="135" customFormat="1" ht="13.5" customHeight="1">
      <c r="A211" s="187"/>
      <c r="B211" s="568" t="s">
        <v>758</v>
      </c>
      <c r="C211" s="569"/>
      <c r="D211" s="569"/>
      <c r="E211" s="569"/>
      <c r="F211" s="570"/>
      <c r="G211" s="330"/>
      <c r="H211" s="188">
        <f>SUM(H9+H11+H13+H15+H17+H23+H19+H21+H25+H27+H33+H31+H29+H35+H37+H39)+H41+H43+H45+H7+H47+H49+H51++H125+H127+H129+H131+H133+H135+H137+H139+H141+H143+H145+H147+H149+H151+H153+H155+H157+H159+H161+H163+H165+H167+H53+H55+H57+H61+H59+H63+H65+H67+H87+H69+H71+H73+H75+H77+H79+H81+H83+H85+H89+H91+H93+H95+H97+H99+H101+H103+H105+H107+H109+H111+H113+H115+H117+H119+H121+H123+H209+H169+H171+H173+H175+H177+H179+H181+H183+H185+H187+H189+H199+H201+H207+H191+H193+H195+H197+H203+H205</f>
        <v>4725325.619999998</v>
      </c>
      <c r="I211" s="188">
        <f aca="true" t="shared" si="10" ref="I211:W211">SUM(I9+I11+I13+I15+I17+I23+I19+I21+I25+I27+I33+I31+I29+I35+I37+I39)+I41+I43+I45+I7+I47+I49+I51++I125+I127+I129+I131+I133+I135+I137+I139+I141+I143+I145+I147+I149+I151+I153+I155+I157+I159+I161+I163+I165+I167+I53+I55+I57+I61+I59+I63+I65+I67+I87+I69+I71+I73+I75+I77+I79+I81+I83+I85+I89+I91+I93+I95+I97+I99+I101+I103+I105+I107+I109+I111+I113+I115+I117+I119+I121+I123+I209+I169+I171+I173+I175+I177+I179+I181+I183+I185+I187+I189+I199+I201+I207+I191+I193+I195+I197+I203+I205</f>
        <v>4817820.32</v>
      </c>
      <c r="J211" s="188">
        <f t="shared" si="10"/>
        <v>5303143.76</v>
      </c>
      <c r="K211" s="188">
        <f t="shared" si="10"/>
        <v>5542228</v>
      </c>
      <c r="L211" s="188">
        <f t="shared" si="10"/>
        <v>4923542.01</v>
      </c>
      <c r="M211" s="188">
        <f t="shared" si="10"/>
        <v>4726659.66</v>
      </c>
      <c r="N211" s="188">
        <f t="shared" si="10"/>
        <v>4883686</v>
      </c>
      <c r="O211" s="188">
        <f t="shared" si="10"/>
        <v>5146062</v>
      </c>
      <c r="P211" s="188">
        <f t="shared" si="10"/>
        <v>5285499.96</v>
      </c>
      <c r="Q211" s="188">
        <f t="shared" si="10"/>
        <v>5228315.91</v>
      </c>
      <c r="R211" s="188">
        <f>SUM(R9+R11+R13+R15+R17+R23+R19+R21+R25+R27+R33+R31+R29+R35+R37+R39)+R41+R43+R45+R7+R47+R49+R51++R125+R127+R129+R131+R133+R135+R137+R139+R141+R143+R145+R147+R149+R151+R153+R155+R157+R159+R161+R163+R165+R167+R53+R55+R57+R61+R59+R63+R65+R67+R87+R69+R71+R73+R75+R77+R79+R81+R83+R85+R89+R91+R93+R95+R97+R99+R101+R103+R105+R107+R109+R111+R113+R115+R117+R119+R121+R123+R209+R169+R171+R173+R175+R177+R179+R181+R183+R185+R187+R189+R199+R201+R207+R191+R193+R195+R197+R203+R205</f>
        <v>5102301.960000001</v>
      </c>
      <c r="S211" s="188">
        <f t="shared" si="10"/>
        <v>4613544</v>
      </c>
      <c r="T211" s="188">
        <f t="shared" si="10"/>
        <v>4294490.76</v>
      </c>
      <c r="U211" s="188">
        <f t="shared" si="10"/>
        <v>4211511.11</v>
      </c>
      <c r="V211" s="188">
        <f t="shared" si="10"/>
        <v>4139845.54</v>
      </c>
      <c r="W211" s="188">
        <f t="shared" si="10"/>
        <v>42266530.65</v>
      </c>
      <c r="X211" s="189">
        <f>SUM(X9+X11+X13+X15+X17+X23+X19+X21+X25+X27+X33+X31+X29+X35+X37+X39)+X41+X43+X45+X7+X47+X49+X51++X125+X127+X129+X131+X133+X135+X137+X139+X141+X143+X145+X147+X149+X151+X153+X155+X157+X159+X161+X163+X165+X167+X53+X55+X57+X61+X59+X63+X65+X67+X87+X69+X71+X73+X75+X77+X79+X81+X83+X85+X89+X91+X93+X95+X97+X99+X101+X103+X105+X107+X109+X111+X113+X115+X117+X119+X121+X123+X209+X169+X171+X173+X175+X177+X179+X181+X183+X185+X187+X189+X199+X201+X207+X191+X193+X195+X197+X203+X205</f>
        <v>115210507.25999999</v>
      </c>
    </row>
    <row r="212" spans="1:24" s="135" customFormat="1" ht="13.5" thickBot="1">
      <c r="A212" s="190"/>
      <c r="B212" s="501" t="s">
        <v>759</v>
      </c>
      <c r="C212" s="502"/>
      <c r="D212" s="502"/>
      <c r="E212" s="502"/>
      <c r="F212" s="503"/>
      <c r="G212" s="331"/>
      <c r="H212" s="191">
        <f>SUM(H10+H12+H14+H16+H18+H24+H20+H22+H26+H28+H34+H32+H30+H36+H38+H40)+H42+H44+H46+H8+H48+H50+H52++H126+H128+H130+H132+H134+H136+H138+H140+H142+H144+H146+H148+H150+H152+H154+H156+H158+H160+H162+H164+H166+H168+H54+H56+H58+H62+H60+H64+H66+H68+H88+H70+H72+H74+H76+H78+H80+H82+H84+H86+H90+H92+H94+H96+H98+H100+H102+H104+H106+H108+H110+H112+H114+H116+H118+H120+H122+H124+H210+H170+H172+H174+H176+H178+H180+H182+H184+H186+H188+H190+H200+H202+H208+H192+H194+H196+H198+H204+H206</f>
        <v>2348960.6</v>
      </c>
      <c r="I212" s="191">
        <f aca="true" t="shared" si="11" ref="I212:W212">SUM(I10+I12+I14+I16+I18+I24+I20+I22+I26+I28+I34+I32+I30+I36+I38+I40)+I42+I44+I46+I8+I48+I50+I52++I126+I128+I130+I132+I134+I136+I138+I140+I142+I144+I146+I148+I150+I152+I154+I156+I158+I160+I162+I164+I166+I168+I54+I56+I58+I62+I60+I64+I66+I68+I88+I70+I72+I74+I76+I78+I80+I82+I84+I86+I90+I92+I94+I96+I98+I100+I102+I104+I106+I108+I110+I112+I114+I116+I118+I120+I122+I124+I210+I170+I172+I174+I176+I178+I180+I182+I184+I186+I188+I190+I200+I202+I208+I192+I194+I196+I198+I204+I206</f>
        <v>5277419</v>
      </c>
      <c r="J212" s="191">
        <f t="shared" si="11"/>
        <v>5336020</v>
      </c>
      <c r="K212" s="191">
        <f t="shared" si="11"/>
        <v>5074456</v>
      </c>
      <c r="L212" s="191">
        <f t="shared" si="11"/>
        <v>3963560</v>
      </c>
      <c r="M212" s="191">
        <f t="shared" si="11"/>
        <v>3767424</v>
      </c>
      <c r="N212" s="191">
        <f t="shared" si="11"/>
        <v>3558300</v>
      </c>
      <c r="O212" s="191">
        <f t="shared" si="11"/>
        <v>3351308</v>
      </c>
      <c r="P212" s="191">
        <f t="shared" si="11"/>
        <v>3134991</v>
      </c>
      <c r="Q212" s="191">
        <f t="shared" si="11"/>
        <v>2922745</v>
      </c>
      <c r="R212" s="191">
        <f t="shared" si="11"/>
        <v>2697425</v>
      </c>
      <c r="S212" s="191">
        <f t="shared" si="11"/>
        <v>2489681</v>
      </c>
      <c r="T212" s="191">
        <f t="shared" si="11"/>
        <v>2296492</v>
      </c>
      <c r="U212" s="191">
        <f t="shared" si="11"/>
        <v>2121816</v>
      </c>
      <c r="V212" s="191">
        <f t="shared" si="11"/>
        <v>1939342</v>
      </c>
      <c r="W212" s="191">
        <f t="shared" si="11"/>
        <v>11443898</v>
      </c>
      <c r="X212" s="192">
        <f>SUM(X10+X12+X14+X16+X18+X24+X20+X22+X26+X28+X34+X32+X30+X36+X38+X40)+X42+X44+X46+X8+X48+X50+X52++X126+X128+X130+X132+X134+X136+X138+X140+X142+X144+X146+X148+X150+X152+X154+X156+X158+X160+X162+X164+X166+X168+X54+X56+X58+X62+X60+X64+X66+X68+X88+X70+X72+X74+X76+X78+X80+X82+X84+X86+X90+X92+X94+X96+X98+X100+X102+X104+X106+X108+X110+X112+X114+X116+X118+X120+X122+X124+X210+X170+X172+X174+X176+X178+X180+X182+X184+X186+X188+X190+X200+X202+X208+X192+X194+X196+X198+X204+X206</f>
        <v>61723837.6</v>
      </c>
    </row>
    <row r="213" spans="1:24" s="135" customFormat="1" ht="13.5" thickTop="1">
      <c r="A213" s="193"/>
      <c r="B213" s="504" t="s">
        <v>760</v>
      </c>
      <c r="C213" s="505"/>
      <c r="D213" s="505"/>
      <c r="E213" s="505"/>
      <c r="F213" s="506"/>
      <c r="G213" s="332"/>
      <c r="H213" s="194">
        <f>SUM(H211:H212)</f>
        <v>7074286.219999999</v>
      </c>
      <c r="I213" s="194">
        <f aca="true" t="shared" si="12" ref="I213:W213">SUM(I211:I212)</f>
        <v>10095239.32</v>
      </c>
      <c r="J213" s="194">
        <f t="shared" si="12"/>
        <v>10639163.76</v>
      </c>
      <c r="K213" s="194">
        <f t="shared" si="12"/>
        <v>10616684</v>
      </c>
      <c r="L213" s="194">
        <f t="shared" si="12"/>
        <v>8887102.01</v>
      </c>
      <c r="M213" s="194">
        <f t="shared" si="12"/>
        <v>8494083.66</v>
      </c>
      <c r="N213" s="194">
        <f t="shared" si="12"/>
        <v>8441986</v>
      </c>
      <c r="O213" s="194">
        <f t="shared" si="12"/>
        <v>8497370</v>
      </c>
      <c r="P213" s="194">
        <f t="shared" si="12"/>
        <v>8420490.96</v>
      </c>
      <c r="Q213" s="194">
        <f t="shared" si="12"/>
        <v>8151060.91</v>
      </c>
      <c r="R213" s="194">
        <f t="shared" si="12"/>
        <v>7799726.960000001</v>
      </c>
      <c r="S213" s="194">
        <f t="shared" si="12"/>
        <v>7103225</v>
      </c>
      <c r="T213" s="194">
        <f t="shared" si="12"/>
        <v>6590982.76</v>
      </c>
      <c r="U213" s="194">
        <f t="shared" si="12"/>
        <v>6333327.11</v>
      </c>
      <c r="V213" s="194">
        <f t="shared" si="12"/>
        <v>6079187.54</v>
      </c>
      <c r="W213" s="194">
        <f t="shared" si="12"/>
        <v>53710428.65</v>
      </c>
      <c r="X213" s="195">
        <f>SUM(X211:X212)</f>
        <v>176934344.85999998</v>
      </c>
    </row>
    <row r="214" spans="1:24" s="200" customFormat="1" ht="12.75">
      <c r="A214" s="196"/>
      <c r="B214" s="565" t="s">
        <v>761</v>
      </c>
      <c r="C214" s="471"/>
      <c r="D214" s="471"/>
      <c r="E214" s="471"/>
      <c r="F214" s="566"/>
      <c r="G214" s="282" t="s">
        <v>762</v>
      </c>
      <c r="H214" s="197">
        <f>SUM(H213/$E$217)</f>
        <v>0.10410095276624358</v>
      </c>
      <c r="I214" s="197">
        <f aca="true" t="shared" si="13" ref="I214:V214">SUM(I213/$E$217)</f>
        <v>0.14855548657956974</v>
      </c>
      <c r="J214" s="197">
        <f>SUM(J213/$E$217)</f>
        <v>0.15655955238577987</v>
      </c>
      <c r="K214" s="197">
        <f t="shared" si="13"/>
        <v>0.15622875372126718</v>
      </c>
      <c r="L214" s="197">
        <f t="shared" si="13"/>
        <v>0.13077726258180694</v>
      </c>
      <c r="M214" s="197">
        <f t="shared" si="13"/>
        <v>0.12499384028063563</v>
      </c>
      <c r="N214" s="197">
        <f t="shared" si="13"/>
        <v>0.12422720236491785</v>
      </c>
      <c r="O214" s="197">
        <f t="shared" si="13"/>
        <v>0.1250422000888869</v>
      </c>
      <c r="P214" s="197">
        <f t="shared" si="13"/>
        <v>0.12391089424927754</v>
      </c>
      <c r="Q214" s="197">
        <f t="shared" si="13"/>
        <v>0.11994612324106455</v>
      </c>
      <c r="R214" s="197">
        <f t="shared" si="13"/>
        <v>0.11477610356745742</v>
      </c>
      <c r="S214" s="197">
        <f t="shared" si="13"/>
        <v>0.10452679849487355</v>
      </c>
      <c r="T214" s="197">
        <f t="shared" si="13"/>
        <v>0.096988948940475</v>
      </c>
      <c r="U214" s="197">
        <f t="shared" si="13"/>
        <v>0.09319744294022643</v>
      </c>
      <c r="V214" s="197">
        <f t="shared" si="13"/>
        <v>0.08945767746426814</v>
      </c>
      <c r="W214" s="198"/>
      <c r="X214" s="199"/>
    </row>
    <row r="215" spans="1:24" s="135" customFormat="1" ht="12.75">
      <c r="A215" s="201"/>
      <c r="B215" s="565" t="s">
        <v>763</v>
      </c>
      <c r="C215" s="471"/>
      <c r="D215" s="471"/>
      <c r="E215" s="471"/>
      <c r="F215" s="471"/>
      <c r="G215" s="283" t="s">
        <v>762</v>
      </c>
      <c r="H215" s="202">
        <f aca="true" t="shared" si="14" ref="H215:V215">SUM((H213-H219)/$E$217)</f>
        <v>0.10137033146939244</v>
      </c>
      <c r="I215" s="202">
        <f t="shared" si="14"/>
        <v>0.14855548657956974</v>
      </c>
      <c r="J215" s="202">
        <f t="shared" si="14"/>
        <v>0.15655955238577987</v>
      </c>
      <c r="K215" s="202">
        <f t="shared" si="14"/>
        <v>0.15622875372126718</v>
      </c>
      <c r="L215" s="202">
        <f t="shared" si="14"/>
        <v>0.13077726258180694</v>
      </c>
      <c r="M215" s="202">
        <f t="shared" si="14"/>
        <v>0.12499384028063563</v>
      </c>
      <c r="N215" s="202">
        <f t="shared" si="14"/>
        <v>0.12422720236491785</v>
      </c>
      <c r="O215" s="202">
        <f t="shared" si="14"/>
        <v>0.1250422000888869</v>
      </c>
      <c r="P215" s="202">
        <f t="shared" si="14"/>
        <v>0.12391089424927754</v>
      </c>
      <c r="Q215" s="202">
        <f t="shared" si="14"/>
        <v>0.11994612324106455</v>
      </c>
      <c r="R215" s="202">
        <f t="shared" si="14"/>
        <v>0.11477610356745742</v>
      </c>
      <c r="S215" s="202">
        <f t="shared" si="14"/>
        <v>0.10452679849487355</v>
      </c>
      <c r="T215" s="202">
        <f t="shared" si="14"/>
        <v>0.096988948940475</v>
      </c>
      <c r="U215" s="202">
        <f t="shared" si="14"/>
        <v>0.09319744294022643</v>
      </c>
      <c r="V215" s="202">
        <f t="shared" si="14"/>
        <v>0.08945767746426814</v>
      </c>
      <c r="W215" s="202"/>
      <c r="X215" s="203"/>
    </row>
    <row r="216" spans="2:24" s="135" customFormat="1" ht="15" customHeight="1">
      <c r="B216" s="475" t="s">
        <v>764</v>
      </c>
      <c r="C216" s="476"/>
      <c r="D216" s="477"/>
      <c r="E216" s="204">
        <f>SUM(E7:E210)</f>
        <v>142679873.97</v>
      </c>
      <c r="F216" s="205"/>
      <c r="G216" s="206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  <c r="X216" s="207"/>
    </row>
    <row r="217" spans="2:24" s="135" customFormat="1" ht="15" customHeight="1">
      <c r="B217" s="475" t="s">
        <v>765</v>
      </c>
      <c r="C217" s="476"/>
      <c r="D217" s="477"/>
      <c r="E217" s="382">
        <f>'1.pielikums'!E9-'1.pielikums'!E55</f>
        <v>67956018</v>
      </c>
      <c r="F217" s="208"/>
      <c r="G217" s="333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X217" s="207"/>
    </row>
    <row r="218" spans="3:24" ht="15" customHeight="1">
      <c r="C218" s="206"/>
      <c r="D218" s="206"/>
      <c r="E218" s="334"/>
      <c r="F218" s="272"/>
      <c r="G218" s="272"/>
      <c r="H218" s="207"/>
      <c r="I218" s="335"/>
      <c r="J218" s="335"/>
      <c r="K218" s="335"/>
      <c r="L218" s="335"/>
      <c r="M218" s="335"/>
      <c r="N218" s="335"/>
      <c r="O218" s="335"/>
      <c r="P218" s="335"/>
      <c r="Q218" s="335"/>
      <c r="R218" s="335"/>
      <c r="S218" s="335"/>
      <c r="T218" s="335"/>
      <c r="U218" s="335"/>
      <c r="X218" s="207"/>
    </row>
    <row r="219" spans="3:24" ht="15" customHeight="1">
      <c r="C219" s="209"/>
      <c r="D219" s="206"/>
      <c r="E219" s="507" t="s">
        <v>985</v>
      </c>
      <c r="F219" s="507"/>
      <c r="G219" s="507"/>
      <c r="H219" s="210">
        <f>H129+H127+H123+56990.04+H159+H165+H125+H153</f>
        <v>185562.15</v>
      </c>
      <c r="I219" s="335"/>
      <c r="J219" s="335"/>
      <c r="K219" s="335"/>
      <c r="L219" s="335"/>
      <c r="M219" s="335"/>
      <c r="N219" s="335"/>
      <c r="O219" s="335"/>
      <c r="P219" s="335"/>
      <c r="Q219" s="335"/>
      <c r="R219" s="335"/>
      <c r="S219" s="335"/>
      <c r="T219" s="335"/>
      <c r="U219" s="335"/>
      <c r="X219" s="207"/>
    </row>
    <row r="220" spans="3:24" ht="27.75" customHeight="1">
      <c r="C220" s="206"/>
      <c r="D220" s="206"/>
      <c r="E220" s="508" t="s">
        <v>986</v>
      </c>
      <c r="F220" s="508"/>
      <c r="G220" s="508"/>
      <c r="H220" s="210">
        <f>353819-H219</f>
        <v>168256.85</v>
      </c>
      <c r="I220" s="335"/>
      <c r="J220" s="335"/>
      <c r="K220" s="335"/>
      <c r="L220" s="335"/>
      <c r="M220" s="335"/>
      <c r="N220" s="335"/>
      <c r="O220" s="335"/>
      <c r="P220" s="335"/>
      <c r="Q220" s="335"/>
      <c r="R220" s="335"/>
      <c r="S220" s="335"/>
      <c r="T220" s="335"/>
      <c r="U220" s="335"/>
      <c r="V220" s="336"/>
      <c r="W220" s="336"/>
      <c r="X220" s="207"/>
    </row>
    <row r="221" spans="3:24" ht="15" customHeight="1">
      <c r="C221" s="206"/>
      <c r="D221" s="206"/>
      <c r="E221" s="497" t="s">
        <v>766</v>
      </c>
      <c r="F221" s="497"/>
      <c r="G221" s="497"/>
      <c r="H221" s="210">
        <f>4539763.47</f>
        <v>4539763.47</v>
      </c>
      <c r="I221" s="335"/>
      <c r="J221" s="335"/>
      <c r="K221" s="335"/>
      <c r="L221" s="335"/>
      <c r="M221" s="335"/>
      <c r="N221" s="335"/>
      <c r="O221" s="335"/>
      <c r="P221" s="335"/>
      <c r="Q221" s="335"/>
      <c r="R221" s="335"/>
      <c r="S221" s="335"/>
      <c r="T221" s="335"/>
      <c r="U221" s="335"/>
      <c r="V221" s="336"/>
      <c r="W221" s="336"/>
      <c r="X221" s="207"/>
    </row>
    <row r="222" spans="3:24" ht="15" customHeight="1">
      <c r="C222" s="206"/>
      <c r="D222" s="206"/>
      <c r="E222" s="498" t="s">
        <v>555</v>
      </c>
      <c r="F222" s="499"/>
      <c r="G222" s="500"/>
      <c r="H222" s="337">
        <f>H219+H220+H221</f>
        <v>4893582.47</v>
      </c>
      <c r="I222" s="335"/>
      <c r="J222" s="335"/>
      <c r="K222" s="335"/>
      <c r="L222" s="335"/>
      <c r="M222" s="335"/>
      <c r="N222" s="335"/>
      <c r="O222" s="335"/>
      <c r="P222" s="335"/>
      <c r="Q222" s="335"/>
      <c r="R222" s="335"/>
      <c r="S222" s="335"/>
      <c r="T222" s="335"/>
      <c r="U222" s="335"/>
      <c r="V222" s="336"/>
      <c r="W222" s="336"/>
      <c r="X222" s="207"/>
    </row>
    <row r="223" spans="4:24" ht="12.75">
      <c r="D223" s="133"/>
      <c r="E223" s="338"/>
      <c r="F223" s="273"/>
      <c r="G223" s="273"/>
      <c r="H223" s="339"/>
      <c r="I223" s="339"/>
      <c r="J223" s="339"/>
      <c r="K223" s="339"/>
      <c r="L223" s="339"/>
      <c r="M223" s="339"/>
      <c r="N223" s="339"/>
      <c r="O223" s="339"/>
      <c r="P223" s="339"/>
      <c r="Q223" s="339"/>
      <c r="R223" s="339"/>
      <c r="S223" s="339"/>
      <c r="T223" s="339"/>
      <c r="U223" s="339"/>
      <c r="X223" s="211"/>
    </row>
    <row r="224" spans="1:24" s="213" customFormat="1" ht="15" customHeight="1" hidden="1">
      <c r="A224" s="131"/>
      <c r="B224" s="147"/>
      <c r="C224" s="567" t="s">
        <v>767</v>
      </c>
      <c r="D224" s="567"/>
      <c r="E224" s="567"/>
      <c r="F224" s="567"/>
      <c r="G224" s="567"/>
      <c r="H224" s="340"/>
      <c r="I224" s="340">
        <f>I211-H211</f>
        <v>92494.70000000205</v>
      </c>
      <c r="J224" s="340">
        <f>J211-I211</f>
        <v>485323.4399999995</v>
      </c>
      <c r="K224" s="340">
        <f aca="true" t="shared" si="15" ref="K224:V224">K211-J211</f>
        <v>239084.24000000022</v>
      </c>
      <c r="L224" s="340">
        <f t="shared" si="15"/>
        <v>-618685.9900000002</v>
      </c>
      <c r="M224" s="340">
        <f t="shared" si="15"/>
        <v>-196882.34999999963</v>
      </c>
      <c r="N224" s="340">
        <f t="shared" si="15"/>
        <v>157026.33999999985</v>
      </c>
      <c r="O224" s="340">
        <f t="shared" si="15"/>
        <v>262376</v>
      </c>
      <c r="P224" s="340">
        <f t="shared" si="15"/>
        <v>139437.95999999996</v>
      </c>
      <c r="Q224" s="340">
        <f t="shared" si="15"/>
        <v>-57184.049999999814</v>
      </c>
      <c r="R224" s="340">
        <f t="shared" si="15"/>
        <v>-126013.94999999925</v>
      </c>
      <c r="S224" s="340">
        <f t="shared" si="15"/>
        <v>-488757.9600000009</v>
      </c>
      <c r="T224" s="340">
        <f t="shared" si="15"/>
        <v>-319053.2400000002</v>
      </c>
      <c r="U224" s="340">
        <f t="shared" si="15"/>
        <v>-82979.64999999944</v>
      </c>
      <c r="V224" s="340">
        <f t="shared" si="15"/>
        <v>-71665.5700000003</v>
      </c>
      <c r="W224" s="341"/>
      <c r="X224" s="212"/>
    </row>
    <row r="225" spans="1:24" s="213" customFormat="1" ht="15" customHeight="1" hidden="1">
      <c r="A225" s="131"/>
      <c r="B225" s="147"/>
      <c r="C225" s="567" t="s">
        <v>768</v>
      </c>
      <c r="D225" s="567"/>
      <c r="E225" s="567"/>
      <c r="F225" s="567"/>
      <c r="G225" s="567"/>
      <c r="H225" s="340"/>
      <c r="I225" s="340">
        <f>I213-H213</f>
        <v>3020953.1000000015</v>
      </c>
      <c r="J225" s="340">
        <f>J213-I213</f>
        <v>543924.4399999995</v>
      </c>
      <c r="K225" s="340">
        <f aca="true" t="shared" si="16" ref="K225:V225">K213-J213</f>
        <v>-22479.759999999776</v>
      </c>
      <c r="L225" s="340">
        <f>L213-K213</f>
        <v>-1729581.9900000002</v>
      </c>
      <c r="M225" s="340">
        <f t="shared" si="16"/>
        <v>-393018.3499999996</v>
      </c>
      <c r="N225" s="340">
        <f t="shared" si="16"/>
        <v>-52097.66000000015</v>
      </c>
      <c r="O225" s="340">
        <f t="shared" si="16"/>
        <v>55384</v>
      </c>
      <c r="P225" s="340">
        <f t="shared" si="16"/>
        <v>-76879.0399999991</v>
      </c>
      <c r="Q225" s="340">
        <f t="shared" si="16"/>
        <v>-269430.05000000075</v>
      </c>
      <c r="R225" s="340">
        <f t="shared" si="16"/>
        <v>-351333.94999999925</v>
      </c>
      <c r="S225" s="340">
        <f t="shared" si="16"/>
        <v>-696501.9600000009</v>
      </c>
      <c r="T225" s="340">
        <f t="shared" si="16"/>
        <v>-512242.2400000002</v>
      </c>
      <c r="U225" s="340">
        <f t="shared" si="16"/>
        <v>-257655.64999999944</v>
      </c>
      <c r="V225" s="340">
        <f t="shared" si="16"/>
        <v>-254139.5700000003</v>
      </c>
      <c r="W225" s="341"/>
      <c r="X225" s="212"/>
    </row>
    <row r="226" spans="1:24" s="213" customFormat="1" ht="12.75" hidden="1">
      <c r="A226" s="214"/>
      <c r="B226" s="215"/>
      <c r="C226" s="214"/>
      <c r="D226" s="214"/>
      <c r="E226" s="342"/>
      <c r="F226" s="274"/>
      <c r="G226" s="274"/>
      <c r="H226" s="343"/>
      <c r="I226" s="343"/>
      <c r="J226" s="343"/>
      <c r="K226" s="343"/>
      <c r="L226" s="343"/>
      <c r="M226" s="343"/>
      <c r="N226" s="343"/>
      <c r="O226" s="343"/>
      <c r="P226" s="343"/>
      <c r="Q226" s="343"/>
      <c r="R226" s="343"/>
      <c r="S226" s="343"/>
      <c r="T226" s="343"/>
      <c r="U226" s="343"/>
      <c r="V226" s="343"/>
      <c r="W226" s="343"/>
      <c r="X226" s="216"/>
    </row>
    <row r="227" spans="1:24" s="213" customFormat="1" ht="12.75" hidden="1">
      <c r="A227" s="214"/>
      <c r="B227" s="215"/>
      <c r="C227" s="214"/>
      <c r="D227" s="214"/>
      <c r="E227" s="342"/>
      <c r="F227" s="274"/>
      <c r="G227" s="274"/>
      <c r="H227" s="343"/>
      <c r="I227" s="343"/>
      <c r="J227" s="343"/>
      <c r="K227" s="343"/>
      <c r="L227" s="343"/>
      <c r="M227" s="343"/>
      <c r="N227" s="343"/>
      <c r="O227" s="343"/>
      <c r="P227" s="343"/>
      <c r="Q227" s="343"/>
      <c r="R227" s="343"/>
      <c r="S227" s="343"/>
      <c r="T227" s="343"/>
      <c r="U227" s="343"/>
      <c r="V227" s="343"/>
      <c r="W227" s="343"/>
      <c r="X227" s="216"/>
    </row>
    <row r="228" spans="1:24" s="213" customFormat="1" ht="12.75" hidden="1">
      <c r="A228" s="214"/>
      <c r="B228" s="215"/>
      <c r="C228" s="214"/>
      <c r="D228" s="214"/>
      <c r="E228" s="342"/>
      <c r="F228" s="274"/>
      <c r="G228" s="274"/>
      <c r="H228" s="343"/>
      <c r="I228" s="343"/>
      <c r="J228" s="343"/>
      <c r="K228" s="343"/>
      <c r="L228" s="343"/>
      <c r="M228" s="343"/>
      <c r="N228" s="343"/>
      <c r="O228" s="343"/>
      <c r="P228" s="343"/>
      <c r="Q228" s="343"/>
      <c r="R228" s="343"/>
      <c r="S228" s="343"/>
      <c r="T228" s="343"/>
      <c r="U228" s="343"/>
      <c r="V228" s="343"/>
      <c r="W228" s="343"/>
      <c r="X228" s="216"/>
    </row>
    <row r="229" spans="1:24" s="213" customFormat="1" ht="12.75">
      <c r="A229" s="214"/>
      <c r="B229" s="217" t="s">
        <v>769</v>
      </c>
      <c r="C229" s="214"/>
      <c r="D229" s="214"/>
      <c r="E229" s="342"/>
      <c r="F229" s="274"/>
      <c r="G229" s="274"/>
      <c r="H229" s="343"/>
      <c r="I229" s="343"/>
      <c r="J229" s="343"/>
      <c r="K229" s="343"/>
      <c r="L229" s="343"/>
      <c r="M229" s="343"/>
      <c r="N229" s="343"/>
      <c r="O229" s="343"/>
      <c r="P229" s="343"/>
      <c r="Q229" s="343"/>
      <c r="R229" s="343"/>
      <c r="S229" s="343"/>
      <c r="T229" s="343"/>
      <c r="U229" s="343"/>
      <c r="V229" s="343"/>
      <c r="W229" s="343"/>
      <c r="X229" s="216"/>
    </row>
    <row r="230" spans="1:24" s="213" customFormat="1" ht="12.75" customHeight="1">
      <c r="A230" s="492">
        <v>1</v>
      </c>
      <c r="B230" s="171" t="s">
        <v>556</v>
      </c>
      <c r="C230" s="496" t="s">
        <v>770</v>
      </c>
      <c r="D230" s="145"/>
      <c r="E230" s="486">
        <v>5122338.52</v>
      </c>
      <c r="F230" s="494" t="s">
        <v>771</v>
      </c>
      <c r="G230" s="284" t="s">
        <v>559</v>
      </c>
      <c r="H230" s="157">
        <v>216000</v>
      </c>
      <c r="I230" s="152">
        <v>216000</v>
      </c>
      <c r="J230" s="152">
        <v>216000</v>
      </c>
      <c r="K230" s="152">
        <v>216000</v>
      </c>
      <c r="L230" s="152">
        <v>216000</v>
      </c>
      <c r="M230" s="152">
        <v>216000</v>
      </c>
      <c r="N230" s="152">
        <v>216000</v>
      </c>
      <c r="O230" s="152">
        <v>216000</v>
      </c>
      <c r="P230" s="152">
        <v>0</v>
      </c>
      <c r="Q230" s="152">
        <v>0</v>
      </c>
      <c r="R230" s="152">
        <v>0</v>
      </c>
      <c r="S230" s="152">
        <v>0</v>
      </c>
      <c r="T230" s="152">
        <v>0</v>
      </c>
      <c r="U230" s="152">
        <v>0</v>
      </c>
      <c r="V230" s="152">
        <v>0</v>
      </c>
      <c r="W230" s="152">
        <v>0</v>
      </c>
      <c r="X230" s="281">
        <f>SUM(H230:W230)</f>
        <v>1728000</v>
      </c>
    </row>
    <row r="231" spans="1:24" s="213" customFormat="1" ht="12.75">
      <c r="A231" s="493"/>
      <c r="B231" s="218" t="s">
        <v>772</v>
      </c>
      <c r="C231" s="485"/>
      <c r="D231" s="154"/>
      <c r="E231" s="487"/>
      <c r="F231" s="495"/>
      <c r="G231" s="285">
        <v>0.03371</v>
      </c>
      <c r="H231" s="219">
        <f>8595+37460</f>
        <v>46055</v>
      </c>
      <c r="I231" s="155">
        <v>50685</v>
      </c>
      <c r="J231" s="155">
        <v>43160</v>
      </c>
      <c r="K231" s="155">
        <v>35775</v>
      </c>
      <c r="L231" s="155">
        <v>28395</v>
      </c>
      <c r="M231" s="155">
        <v>21075</v>
      </c>
      <c r="N231" s="155">
        <v>13630</v>
      </c>
      <c r="O231" s="155">
        <v>6245</v>
      </c>
      <c r="P231" s="155">
        <v>410</v>
      </c>
      <c r="Q231" s="155">
        <v>0</v>
      </c>
      <c r="R231" s="155">
        <v>0</v>
      </c>
      <c r="S231" s="155">
        <v>0</v>
      </c>
      <c r="T231" s="155">
        <v>0</v>
      </c>
      <c r="U231" s="155">
        <v>0</v>
      </c>
      <c r="V231" s="155">
        <v>0</v>
      </c>
      <c r="W231" s="155">
        <v>0</v>
      </c>
      <c r="X231" s="151">
        <f>SUM(H231:W231)</f>
        <v>245430</v>
      </c>
    </row>
    <row r="232" spans="1:24" s="213" customFormat="1" ht="12.75" customHeight="1">
      <c r="A232" s="492">
        <v>2</v>
      </c>
      <c r="B232" s="171" t="s">
        <v>556</v>
      </c>
      <c r="C232" s="496" t="s">
        <v>773</v>
      </c>
      <c r="D232" s="145"/>
      <c r="E232" s="486">
        <v>522193.95</v>
      </c>
      <c r="F232" s="494" t="s">
        <v>774</v>
      </c>
      <c r="G232" s="284" t="s">
        <v>559</v>
      </c>
      <c r="H232" s="157">
        <v>10699.57</v>
      </c>
      <c r="I232" s="157">
        <v>32139.84</v>
      </c>
      <c r="J232" s="157">
        <v>32139.84</v>
      </c>
      <c r="K232" s="157">
        <v>32139.84</v>
      </c>
      <c r="L232" s="157">
        <v>32139.84</v>
      </c>
      <c r="M232" s="157">
        <v>32139.84</v>
      </c>
      <c r="N232" s="157">
        <v>32139.84</v>
      </c>
      <c r="O232" s="157">
        <v>32061.39</v>
      </c>
      <c r="P232" s="152">
        <v>0</v>
      </c>
      <c r="Q232" s="152">
        <v>0</v>
      </c>
      <c r="R232" s="152">
        <v>0</v>
      </c>
      <c r="S232" s="152">
        <v>0</v>
      </c>
      <c r="T232" s="152">
        <v>0</v>
      </c>
      <c r="U232" s="152">
        <v>0</v>
      </c>
      <c r="V232" s="152">
        <v>0</v>
      </c>
      <c r="W232" s="152">
        <v>0</v>
      </c>
      <c r="X232" s="281">
        <f>SUM(H232:W232)</f>
        <v>235600</v>
      </c>
    </row>
    <row r="233" spans="1:24" s="213" customFormat="1" ht="12.75">
      <c r="A233" s="493"/>
      <c r="B233" s="218" t="s">
        <v>775</v>
      </c>
      <c r="C233" s="485"/>
      <c r="D233" s="154"/>
      <c r="E233" s="487"/>
      <c r="F233" s="495"/>
      <c r="G233" s="285">
        <v>0.03367</v>
      </c>
      <c r="H233" s="219">
        <f>1195+5250</f>
        <v>6445</v>
      </c>
      <c r="I233" s="155">
        <f>1120+6410</f>
        <v>7530</v>
      </c>
      <c r="J233" s="155">
        <v>6415</v>
      </c>
      <c r="K233" s="155">
        <v>5315</v>
      </c>
      <c r="L233" s="155">
        <v>4220</v>
      </c>
      <c r="M233" s="155">
        <v>3130</v>
      </c>
      <c r="N233" s="155">
        <v>2025</v>
      </c>
      <c r="O233" s="155">
        <v>930</v>
      </c>
      <c r="P233" s="155">
        <v>65</v>
      </c>
      <c r="Q233" s="155">
        <v>0</v>
      </c>
      <c r="R233" s="155">
        <v>0</v>
      </c>
      <c r="S233" s="155">
        <v>0</v>
      </c>
      <c r="T233" s="155">
        <v>0</v>
      </c>
      <c r="U233" s="155">
        <v>0</v>
      </c>
      <c r="V233" s="155">
        <v>0</v>
      </c>
      <c r="W233" s="155">
        <v>0</v>
      </c>
      <c r="X233" s="151">
        <f>SUM(H233:W233)</f>
        <v>36075</v>
      </c>
    </row>
    <row r="234" spans="1:24" s="213" customFormat="1" ht="12.75" customHeight="1">
      <c r="A234" s="492">
        <v>3</v>
      </c>
      <c r="B234" s="171" t="s">
        <v>556</v>
      </c>
      <c r="C234" s="496" t="s">
        <v>776</v>
      </c>
      <c r="D234" s="145"/>
      <c r="E234" s="486">
        <f>6033386-77724.71</f>
        <v>5955661.29</v>
      </c>
      <c r="F234" s="496" t="s">
        <v>777</v>
      </c>
      <c r="G234" s="284" t="s">
        <v>559</v>
      </c>
      <c r="H234" s="344">
        <f>212528.79+1094332.72</f>
        <v>1306861.51</v>
      </c>
      <c r="I234" s="157">
        <v>212568</v>
      </c>
      <c r="J234" s="157">
        <v>212568</v>
      </c>
      <c r="K234" s="157">
        <v>212568</v>
      </c>
      <c r="L234" s="157">
        <v>212568</v>
      </c>
      <c r="M234" s="157">
        <v>212568</v>
      </c>
      <c r="N234" s="157">
        <v>212568</v>
      </c>
      <c r="O234" s="157">
        <v>212568</v>
      </c>
      <c r="P234" s="157">
        <v>212568</v>
      </c>
      <c r="Q234" s="157">
        <v>212568</v>
      </c>
      <c r="R234" s="157">
        <v>212568</v>
      </c>
      <c r="S234" s="157">
        <v>212568</v>
      </c>
      <c r="T234" s="157">
        <v>212568</v>
      </c>
      <c r="U234" s="157">
        <v>212568</v>
      </c>
      <c r="V234" s="157">
        <v>212568</v>
      </c>
      <c r="W234" s="153">
        <v>2603958</v>
      </c>
      <c r="X234" s="281">
        <f aca="true" t="shared" si="17" ref="X234:X241">SUM(H234:W234)</f>
        <v>6886771.51</v>
      </c>
    </row>
    <row r="235" spans="1:24" s="213" customFormat="1" ht="12.75">
      <c r="A235" s="493"/>
      <c r="B235" s="218" t="s">
        <v>778</v>
      </c>
      <c r="C235" s="485"/>
      <c r="D235" s="154"/>
      <c r="E235" s="487"/>
      <c r="F235" s="485"/>
      <c r="G235" s="285">
        <v>0.05377</v>
      </c>
      <c r="H235" s="219">
        <v>213775</v>
      </c>
      <c r="I235" s="219">
        <v>243425</v>
      </c>
      <c r="J235" s="219">
        <v>231165</v>
      </c>
      <c r="K235" s="219">
        <v>219580</v>
      </c>
      <c r="L235" s="219">
        <v>207980</v>
      </c>
      <c r="M235" s="219">
        <v>196945</v>
      </c>
      <c r="N235" s="219">
        <v>184815</v>
      </c>
      <c r="O235" s="219">
        <v>173225</v>
      </c>
      <c r="P235" s="219">
        <v>161635</v>
      </c>
      <c r="Q235" s="219">
        <v>150465</v>
      </c>
      <c r="R235" s="219">
        <v>138460</v>
      </c>
      <c r="S235" s="219">
        <v>126870</v>
      </c>
      <c r="T235" s="219">
        <v>115280</v>
      </c>
      <c r="U235" s="219">
        <v>103980</v>
      </c>
      <c r="V235" s="219">
        <v>92105</v>
      </c>
      <c r="W235" s="156">
        <v>321635</v>
      </c>
      <c r="X235" s="151">
        <f t="shared" si="17"/>
        <v>2881340</v>
      </c>
    </row>
    <row r="236" spans="1:24" s="213" customFormat="1" ht="12.75" customHeight="1">
      <c r="A236" s="492">
        <v>4</v>
      </c>
      <c r="B236" s="171" t="s">
        <v>556</v>
      </c>
      <c r="C236" s="484" t="s">
        <v>779</v>
      </c>
      <c r="D236" s="145"/>
      <c r="E236" s="486">
        <v>203978</v>
      </c>
      <c r="F236" s="494" t="s">
        <v>780</v>
      </c>
      <c r="G236" s="284" t="s">
        <v>559</v>
      </c>
      <c r="H236" s="344">
        <f>2582+2582+2294.54+2294.54+21559.24</f>
        <v>31312.32</v>
      </c>
      <c r="I236" s="152">
        <v>9178.16</v>
      </c>
      <c r="J236" s="152">
        <v>9178.16</v>
      </c>
      <c r="K236" s="152">
        <v>9178.16</v>
      </c>
      <c r="L236" s="152">
        <v>9178.16</v>
      </c>
      <c r="M236" s="152">
        <v>9178.16</v>
      </c>
      <c r="N236" s="152">
        <v>9178.16</v>
      </c>
      <c r="O236" s="152">
        <v>9178.16</v>
      </c>
      <c r="P236" s="152">
        <v>9178.16</v>
      </c>
      <c r="Q236" s="152">
        <v>9178.16</v>
      </c>
      <c r="R236" s="152">
        <v>9178.16</v>
      </c>
      <c r="S236" s="152">
        <v>9178.16</v>
      </c>
      <c r="T236" s="152">
        <v>9178.16</v>
      </c>
      <c r="U236" s="152">
        <v>9178.16</v>
      </c>
      <c r="V236" s="152">
        <v>9178.16</v>
      </c>
      <c r="W236" s="153">
        <v>39007.44</v>
      </c>
      <c r="X236" s="281">
        <f>SUM(H236:W236)</f>
        <v>198814.00000000003</v>
      </c>
    </row>
    <row r="237" spans="1:24" s="213" customFormat="1" ht="12.75">
      <c r="A237" s="493"/>
      <c r="B237" s="218" t="s">
        <v>781</v>
      </c>
      <c r="C237" s="485"/>
      <c r="D237" s="154"/>
      <c r="E237" s="487"/>
      <c r="F237" s="495"/>
      <c r="G237" s="285">
        <v>0.04329</v>
      </c>
      <c r="H237" s="219">
        <v>5750</v>
      </c>
      <c r="I237" s="155">
        <v>7310</v>
      </c>
      <c r="J237" s="155">
        <v>6890</v>
      </c>
      <c r="K237" s="155">
        <v>6485</v>
      </c>
      <c r="L237" s="155">
        <v>6085</v>
      </c>
      <c r="M237" s="155">
        <v>5700</v>
      </c>
      <c r="N237" s="155">
        <v>5280</v>
      </c>
      <c r="O237" s="155">
        <v>4875</v>
      </c>
      <c r="P237" s="155">
        <v>4470</v>
      </c>
      <c r="Q237" s="155">
        <v>4080</v>
      </c>
      <c r="R237" s="155">
        <v>3665</v>
      </c>
      <c r="S237" s="155">
        <v>3265</v>
      </c>
      <c r="T237" s="155">
        <v>2860</v>
      </c>
      <c r="U237" s="155">
        <v>2465</v>
      </c>
      <c r="V237" s="155">
        <v>2055</v>
      </c>
      <c r="W237" s="156">
        <v>4255</v>
      </c>
      <c r="X237" s="151">
        <f t="shared" si="17"/>
        <v>75490</v>
      </c>
    </row>
    <row r="238" spans="1:24" s="213" customFormat="1" ht="12.75" customHeight="1">
      <c r="A238" s="492">
        <v>5</v>
      </c>
      <c r="B238" s="171" t="s">
        <v>556</v>
      </c>
      <c r="C238" s="484" t="s">
        <v>779</v>
      </c>
      <c r="D238" s="145"/>
      <c r="E238" s="486">
        <v>150829</v>
      </c>
      <c r="F238" s="494" t="s">
        <v>782</v>
      </c>
      <c r="G238" s="284" t="s">
        <v>559</v>
      </c>
      <c r="H238" s="344">
        <f>1886+1886+21485.66+28336.93+1230.43+1230.43</f>
        <v>56055.45</v>
      </c>
      <c r="I238" s="152">
        <v>4921.72</v>
      </c>
      <c r="J238" s="152">
        <v>4921.72</v>
      </c>
      <c r="K238" s="152">
        <v>4921.72</v>
      </c>
      <c r="L238" s="152">
        <v>4921.72</v>
      </c>
      <c r="M238" s="152">
        <v>4921.72</v>
      </c>
      <c r="N238" s="152">
        <v>4921.72</v>
      </c>
      <c r="O238" s="152">
        <v>4921.72</v>
      </c>
      <c r="P238" s="152">
        <v>4921.72</v>
      </c>
      <c r="Q238" s="152">
        <v>4921.72</v>
      </c>
      <c r="R238" s="152">
        <v>4921.72</v>
      </c>
      <c r="S238" s="152">
        <v>4921.72</v>
      </c>
      <c r="T238" s="152">
        <v>4921.72</v>
      </c>
      <c r="U238" s="152">
        <v>4921.72</v>
      </c>
      <c r="V238" s="152">
        <v>4921.72</v>
      </c>
      <c r="W238" s="153">
        <v>22148.47</v>
      </c>
      <c r="X238" s="281">
        <f>SUM(H238:W238)</f>
        <v>147108</v>
      </c>
    </row>
    <row r="239" spans="1:24" s="213" customFormat="1" ht="12.75">
      <c r="A239" s="493"/>
      <c r="B239" s="218" t="s">
        <v>783</v>
      </c>
      <c r="C239" s="485"/>
      <c r="D239" s="154"/>
      <c r="E239" s="487"/>
      <c r="F239" s="495"/>
      <c r="G239" s="285">
        <v>0.05318</v>
      </c>
      <c r="H239" s="219">
        <v>3830</v>
      </c>
      <c r="I239" s="155">
        <v>4885</v>
      </c>
      <c r="J239" s="155">
        <v>4605</v>
      </c>
      <c r="K239" s="155">
        <v>4340</v>
      </c>
      <c r="L239" s="155">
        <v>4075</v>
      </c>
      <c r="M239" s="155">
        <v>3820</v>
      </c>
      <c r="N239" s="155">
        <v>3545</v>
      </c>
      <c r="O239" s="155">
        <v>3280</v>
      </c>
      <c r="P239" s="155">
        <v>3015</v>
      </c>
      <c r="Q239" s="155">
        <v>2855</v>
      </c>
      <c r="R239" s="155">
        <v>2485</v>
      </c>
      <c r="S239" s="155">
        <v>2215</v>
      </c>
      <c r="T239" s="155">
        <v>1950</v>
      </c>
      <c r="U239" s="155">
        <v>1690</v>
      </c>
      <c r="V239" s="155">
        <v>1420</v>
      </c>
      <c r="W239" s="156">
        <v>3120</v>
      </c>
      <c r="X239" s="151">
        <f t="shared" si="17"/>
        <v>51130</v>
      </c>
    </row>
    <row r="240" spans="1:24" s="221" customFormat="1" ht="30.75" customHeight="1">
      <c r="A240" s="482">
        <v>6</v>
      </c>
      <c r="B240" s="171" t="s">
        <v>987</v>
      </c>
      <c r="C240" s="484" t="s">
        <v>998</v>
      </c>
      <c r="D240" s="184"/>
      <c r="E240" s="486">
        <v>4678482</v>
      </c>
      <c r="F240" s="488" t="s">
        <v>988</v>
      </c>
      <c r="G240" s="286" t="s">
        <v>559</v>
      </c>
      <c r="H240" s="402"/>
      <c r="I240" s="220"/>
      <c r="J240" s="220">
        <v>311900</v>
      </c>
      <c r="K240" s="220">
        <v>311900</v>
      </c>
      <c r="L240" s="220">
        <v>311900</v>
      </c>
      <c r="M240" s="220">
        <v>311900</v>
      </c>
      <c r="N240" s="220">
        <v>311900</v>
      </c>
      <c r="O240" s="220">
        <v>311900</v>
      </c>
      <c r="P240" s="220">
        <v>311900</v>
      </c>
      <c r="Q240" s="220">
        <v>311900</v>
      </c>
      <c r="R240" s="220">
        <v>311900</v>
      </c>
      <c r="S240" s="220">
        <v>311900</v>
      </c>
      <c r="T240" s="220">
        <v>311900</v>
      </c>
      <c r="U240" s="220">
        <v>311900</v>
      </c>
      <c r="V240" s="220">
        <v>935682</v>
      </c>
      <c r="W240" s="220"/>
      <c r="X240" s="281">
        <f>SUM(H240:W240)</f>
        <v>4678482</v>
      </c>
    </row>
    <row r="241" spans="1:24" s="221" customFormat="1" ht="29.25" customHeight="1">
      <c r="A241" s="483"/>
      <c r="B241" s="218"/>
      <c r="C241" s="485"/>
      <c r="D241" s="186"/>
      <c r="E241" s="487"/>
      <c r="F241" s="489"/>
      <c r="G241" s="287">
        <v>0.04847</v>
      </c>
      <c r="H241" s="222">
        <v>14000</v>
      </c>
      <c r="I241" s="222">
        <v>240600</v>
      </c>
      <c r="J241" s="222">
        <v>236825</v>
      </c>
      <c r="K241" s="222">
        <v>221835</v>
      </c>
      <c r="L241" s="222">
        <v>205845</v>
      </c>
      <c r="M241" s="222">
        <v>190450</v>
      </c>
      <c r="N241" s="222">
        <v>173865</v>
      </c>
      <c r="O241" s="222">
        <v>157875</v>
      </c>
      <c r="P241" s="222">
        <v>141885</v>
      </c>
      <c r="Q241" s="222">
        <v>126290</v>
      </c>
      <c r="R241" s="222">
        <v>109905</v>
      </c>
      <c r="S241" s="222">
        <v>93915</v>
      </c>
      <c r="T241" s="222">
        <v>77925</v>
      </c>
      <c r="U241" s="222">
        <v>62130</v>
      </c>
      <c r="V241" s="222">
        <v>90855</v>
      </c>
      <c r="W241" s="222"/>
      <c r="X241" s="151">
        <f t="shared" si="17"/>
        <v>2144200</v>
      </c>
    </row>
    <row r="242" spans="1:24" s="221" customFormat="1" ht="32.25" customHeight="1" hidden="1">
      <c r="A242" s="482"/>
      <c r="B242" s="171"/>
      <c r="C242" s="484"/>
      <c r="D242" s="184"/>
      <c r="E242" s="490"/>
      <c r="F242" s="488"/>
      <c r="G242" s="286"/>
      <c r="H242" s="402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81"/>
    </row>
    <row r="243" spans="1:24" s="221" customFormat="1" ht="33" customHeight="1" hidden="1">
      <c r="A243" s="483"/>
      <c r="B243" s="218"/>
      <c r="C243" s="485"/>
      <c r="D243" s="186"/>
      <c r="E243" s="491"/>
      <c r="F243" s="489"/>
      <c r="G243" s="287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151"/>
    </row>
    <row r="244" spans="1:24" s="345" customFormat="1" ht="12.75">
      <c r="A244" s="187"/>
      <c r="B244" s="461" t="s">
        <v>758</v>
      </c>
      <c r="C244" s="462"/>
      <c r="D244" s="462"/>
      <c r="E244" s="462"/>
      <c r="F244" s="463"/>
      <c r="G244" s="330"/>
      <c r="H244" s="223">
        <f>H230+H232+H234+H236+H242+H238+H240</f>
        <v>1620928.85</v>
      </c>
      <c r="I244" s="223">
        <f aca="true" t="shared" si="18" ref="I244:X245">I230+I232+I234+I236+I242+I238+I240</f>
        <v>474807.7199999999</v>
      </c>
      <c r="J244" s="223">
        <f t="shared" si="18"/>
        <v>786707.72</v>
      </c>
      <c r="K244" s="223">
        <f t="shared" si="18"/>
        <v>786707.72</v>
      </c>
      <c r="L244" s="223">
        <f t="shared" si="18"/>
        <v>786707.72</v>
      </c>
      <c r="M244" s="223">
        <f t="shared" si="18"/>
        <v>786707.72</v>
      </c>
      <c r="N244" s="223">
        <f t="shared" si="18"/>
        <v>786707.72</v>
      </c>
      <c r="O244" s="223">
        <f t="shared" si="18"/>
        <v>786629.27</v>
      </c>
      <c r="P244" s="223">
        <f t="shared" si="18"/>
        <v>538567.88</v>
      </c>
      <c r="Q244" s="223">
        <f t="shared" si="18"/>
        <v>538567.88</v>
      </c>
      <c r="R244" s="223">
        <f t="shared" si="18"/>
        <v>538567.88</v>
      </c>
      <c r="S244" s="223">
        <f t="shared" si="18"/>
        <v>538567.88</v>
      </c>
      <c r="T244" s="223">
        <f t="shared" si="18"/>
        <v>538567.88</v>
      </c>
      <c r="U244" s="223">
        <f t="shared" si="18"/>
        <v>538567.88</v>
      </c>
      <c r="V244" s="223">
        <f t="shared" si="18"/>
        <v>1162349.88</v>
      </c>
      <c r="W244" s="223">
        <f t="shared" si="18"/>
        <v>2665113.91</v>
      </c>
      <c r="X244" s="224">
        <f t="shared" si="18"/>
        <v>13874775.51</v>
      </c>
    </row>
    <row r="245" spans="1:24" s="345" customFormat="1" ht="13.5" thickBot="1">
      <c r="A245" s="225"/>
      <c r="B245" s="461" t="s">
        <v>759</v>
      </c>
      <c r="C245" s="462"/>
      <c r="D245" s="462"/>
      <c r="E245" s="462"/>
      <c r="F245" s="463"/>
      <c r="G245" s="346"/>
      <c r="H245" s="223">
        <f>H231+H233+H235+H237+H243+H239+H241</f>
        <v>289855</v>
      </c>
      <c r="I245" s="223">
        <f t="shared" si="18"/>
        <v>554435</v>
      </c>
      <c r="J245" s="223">
        <f t="shared" si="18"/>
        <v>529060</v>
      </c>
      <c r="K245" s="223">
        <f t="shared" si="18"/>
        <v>493330</v>
      </c>
      <c r="L245" s="223">
        <f t="shared" si="18"/>
        <v>456600</v>
      </c>
      <c r="M245" s="223">
        <f t="shared" si="18"/>
        <v>421120</v>
      </c>
      <c r="N245" s="223">
        <f t="shared" si="18"/>
        <v>383160</v>
      </c>
      <c r="O245" s="223">
        <f t="shared" si="18"/>
        <v>346430</v>
      </c>
      <c r="P245" s="223">
        <f t="shared" si="18"/>
        <v>311480</v>
      </c>
      <c r="Q245" s="223">
        <f t="shared" si="18"/>
        <v>283690</v>
      </c>
      <c r="R245" s="223">
        <f t="shared" si="18"/>
        <v>254515</v>
      </c>
      <c r="S245" s="223">
        <f t="shared" si="18"/>
        <v>226265</v>
      </c>
      <c r="T245" s="223">
        <f t="shared" si="18"/>
        <v>198015</v>
      </c>
      <c r="U245" s="223">
        <f t="shared" si="18"/>
        <v>170265</v>
      </c>
      <c r="V245" s="223">
        <f t="shared" si="18"/>
        <v>186435</v>
      </c>
      <c r="W245" s="223">
        <f t="shared" si="18"/>
        <v>329010</v>
      </c>
      <c r="X245" s="226">
        <f t="shared" si="18"/>
        <v>5433665</v>
      </c>
    </row>
    <row r="246" spans="1:24" s="345" customFormat="1" ht="13.5" thickTop="1">
      <c r="A246" s="227"/>
      <c r="B246" s="473" t="s">
        <v>784</v>
      </c>
      <c r="C246" s="474"/>
      <c r="D246" s="474"/>
      <c r="E246" s="474"/>
      <c r="F246" s="474"/>
      <c r="G246" s="332"/>
      <c r="H246" s="194">
        <f>SUM(H244:H245)</f>
        <v>1910783.85</v>
      </c>
      <c r="I246" s="194">
        <f aca="true" t="shared" si="19" ref="I246:U246">SUM(I244:I245)</f>
        <v>1029242.72</v>
      </c>
      <c r="J246" s="194">
        <f t="shared" si="19"/>
        <v>1315767.72</v>
      </c>
      <c r="K246" s="194">
        <f t="shared" si="19"/>
        <v>1280037.72</v>
      </c>
      <c r="L246" s="194">
        <f t="shared" si="19"/>
        <v>1243307.72</v>
      </c>
      <c r="M246" s="194">
        <f t="shared" si="19"/>
        <v>1207827.72</v>
      </c>
      <c r="N246" s="194">
        <f t="shared" si="19"/>
        <v>1169867.72</v>
      </c>
      <c r="O246" s="194">
        <f t="shared" si="19"/>
        <v>1133059.27</v>
      </c>
      <c r="P246" s="194">
        <f t="shared" si="19"/>
        <v>850047.88</v>
      </c>
      <c r="Q246" s="194">
        <f t="shared" si="19"/>
        <v>822257.88</v>
      </c>
      <c r="R246" s="194">
        <f t="shared" si="19"/>
        <v>793082.88</v>
      </c>
      <c r="S246" s="194">
        <f t="shared" si="19"/>
        <v>764832.88</v>
      </c>
      <c r="T246" s="194">
        <f t="shared" si="19"/>
        <v>736582.88</v>
      </c>
      <c r="U246" s="194">
        <f t="shared" si="19"/>
        <v>708832.88</v>
      </c>
      <c r="V246" s="194">
        <f>SUM(V244:V245)</f>
        <v>1348784.88</v>
      </c>
      <c r="W246" s="194">
        <f>SUM(W244:W245)</f>
        <v>2994123.91</v>
      </c>
      <c r="X246" s="195">
        <f>SUM(X244:X245)</f>
        <v>19308440.509999998</v>
      </c>
    </row>
    <row r="247" spans="1:24" s="345" customFormat="1" ht="12.75">
      <c r="A247" s="228"/>
      <c r="B247" s="475" t="s">
        <v>764</v>
      </c>
      <c r="C247" s="476"/>
      <c r="D247" s="477"/>
      <c r="E247" s="229">
        <f>E230+E232+E234+E236+E238+E240</f>
        <v>16633482.76</v>
      </c>
      <c r="F247" s="230"/>
      <c r="G247" s="228"/>
      <c r="H247" s="350"/>
      <c r="I247" s="231"/>
      <c r="J247" s="231"/>
      <c r="K247" s="231"/>
      <c r="L247" s="231"/>
      <c r="M247" s="231"/>
      <c r="N247" s="231"/>
      <c r="O247" s="231"/>
      <c r="P247" s="231"/>
      <c r="Q247" s="231"/>
      <c r="R247" s="231"/>
      <c r="S247" s="231"/>
      <c r="T247" s="231"/>
      <c r="U247" s="231"/>
      <c r="V247" s="231"/>
      <c r="W247" s="231"/>
      <c r="X247" s="231"/>
    </row>
    <row r="248" spans="1:24" s="345" customFormat="1" ht="12.75">
      <c r="A248" s="228"/>
      <c r="B248" s="475" t="s">
        <v>765</v>
      </c>
      <c r="C248" s="476"/>
      <c r="D248" s="477"/>
      <c r="E248" s="232">
        <f>E217</f>
        <v>67956018</v>
      </c>
      <c r="F248" s="233"/>
      <c r="G248" s="233"/>
      <c r="H248" s="350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  <c r="W248" s="231"/>
      <c r="X248" s="231"/>
    </row>
    <row r="249" spans="1:24" s="213" customFormat="1" ht="12.75">
      <c r="A249" s="228"/>
      <c r="B249" s="347"/>
      <c r="C249" s="347"/>
      <c r="D249" s="347"/>
      <c r="E249" s="348"/>
      <c r="F249" s="349"/>
      <c r="G249" s="349"/>
      <c r="H249" s="350"/>
      <c r="I249" s="350"/>
      <c r="J249" s="350"/>
      <c r="K249" s="350"/>
      <c r="L249" s="350"/>
      <c r="M249" s="350"/>
      <c r="N249" s="350"/>
      <c r="O249" s="350"/>
      <c r="P249" s="350"/>
      <c r="Q249" s="350"/>
      <c r="R249" s="350"/>
      <c r="S249" s="350"/>
      <c r="T249" s="350"/>
      <c r="U249" s="350"/>
      <c r="V249" s="350"/>
      <c r="W249" s="350"/>
      <c r="X249" s="231"/>
    </row>
    <row r="250" spans="1:24" s="213" customFormat="1" ht="12.75">
      <c r="A250" s="228"/>
      <c r="B250" s="347"/>
      <c r="C250" s="347"/>
      <c r="D250" s="347"/>
      <c r="E250" s="478" t="s">
        <v>964</v>
      </c>
      <c r="F250" s="478"/>
      <c r="G250" s="478"/>
      <c r="H250" s="422">
        <f>H234+H236+H238-212528.79-9753.08-6232.86</f>
        <v>1165714.5499999998</v>
      </c>
      <c r="I250" s="350"/>
      <c r="J250" s="350"/>
      <c r="K250" s="350"/>
      <c r="L250" s="350"/>
      <c r="M250" s="350"/>
      <c r="N250" s="350"/>
      <c r="O250" s="350"/>
      <c r="P250" s="350"/>
      <c r="Q250" s="350"/>
      <c r="R250" s="350"/>
      <c r="S250" s="350"/>
      <c r="T250" s="350"/>
      <c r="U250" s="350"/>
      <c r="V250" s="350"/>
      <c r="W250" s="350"/>
      <c r="X250" s="231"/>
    </row>
    <row r="251" spans="1:24" s="213" customFormat="1" ht="12.75">
      <c r="A251" s="228"/>
      <c r="B251" s="234"/>
      <c r="C251" s="230"/>
      <c r="D251" s="230"/>
      <c r="E251" s="478" t="s">
        <v>965</v>
      </c>
      <c r="F251" s="478"/>
      <c r="G251" s="478"/>
      <c r="H251" s="423">
        <f>216000+10699.57+212528.79+(2582+2582+2294.54+2294.54)+(1886+1886+1230.43+1230.43)</f>
        <v>455214.3</v>
      </c>
      <c r="I251" s="350"/>
      <c r="J251" s="350"/>
      <c r="K251" s="350"/>
      <c r="L251" s="350"/>
      <c r="M251" s="350"/>
      <c r="N251" s="350"/>
      <c r="O251" s="350"/>
      <c r="P251" s="350"/>
      <c r="Q251" s="350"/>
      <c r="R251" s="350"/>
      <c r="S251" s="350"/>
      <c r="T251" s="350"/>
      <c r="U251" s="350"/>
      <c r="V251" s="350"/>
      <c r="W251" s="350"/>
      <c r="X251" s="231"/>
    </row>
    <row r="252" spans="8:23" ht="12.75">
      <c r="H252" s="135"/>
      <c r="L252" s="351"/>
      <c r="M252" s="351"/>
      <c r="N252" s="351"/>
      <c r="O252" s="351"/>
      <c r="P252" s="351"/>
      <c r="Q252" s="351"/>
      <c r="R252" s="351"/>
      <c r="S252" s="351"/>
      <c r="T252" s="351"/>
      <c r="U252" s="351"/>
      <c r="V252" s="351"/>
      <c r="W252" s="351"/>
    </row>
    <row r="253" spans="1:24" s="213" customFormat="1" ht="12" customHeight="1">
      <c r="A253" s="131"/>
      <c r="B253" s="147"/>
      <c r="C253" s="383" t="s">
        <v>978</v>
      </c>
      <c r="D253" s="236"/>
      <c r="E253" s="342"/>
      <c r="F253" s="275"/>
      <c r="G253" s="275"/>
      <c r="H253" s="13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275"/>
      <c r="V253" s="275"/>
      <c r="W253" s="275"/>
      <c r="X253" s="135"/>
    </row>
    <row r="254" spans="1:24" s="345" customFormat="1" ht="12.75">
      <c r="A254" s="237"/>
      <c r="B254" s="479" t="s">
        <v>758</v>
      </c>
      <c r="C254" s="480"/>
      <c r="D254" s="480"/>
      <c r="E254" s="480"/>
      <c r="F254" s="480"/>
      <c r="G254" s="481"/>
      <c r="H254" s="238">
        <f>H211+H244</f>
        <v>6346254.469999999</v>
      </c>
      <c r="I254" s="238">
        <f aca="true" t="shared" si="20" ref="I254:X255">I211+I244</f>
        <v>5292628.04</v>
      </c>
      <c r="J254" s="238">
        <f t="shared" si="20"/>
        <v>6089851.4799999995</v>
      </c>
      <c r="K254" s="238">
        <f t="shared" si="20"/>
        <v>6328935.72</v>
      </c>
      <c r="L254" s="238">
        <f t="shared" si="20"/>
        <v>5710249.7299999995</v>
      </c>
      <c r="M254" s="238">
        <f t="shared" si="20"/>
        <v>5513367.38</v>
      </c>
      <c r="N254" s="238">
        <f t="shared" si="20"/>
        <v>5670393.72</v>
      </c>
      <c r="O254" s="238">
        <f t="shared" si="20"/>
        <v>5932691.27</v>
      </c>
      <c r="P254" s="238">
        <f t="shared" si="20"/>
        <v>5824067.84</v>
      </c>
      <c r="Q254" s="238">
        <f t="shared" si="20"/>
        <v>5766883.79</v>
      </c>
      <c r="R254" s="238">
        <f t="shared" si="20"/>
        <v>5640869.840000001</v>
      </c>
      <c r="S254" s="238">
        <f t="shared" si="20"/>
        <v>5152111.88</v>
      </c>
      <c r="T254" s="238">
        <f t="shared" si="20"/>
        <v>4833058.64</v>
      </c>
      <c r="U254" s="238">
        <f t="shared" si="20"/>
        <v>4750078.99</v>
      </c>
      <c r="V254" s="238">
        <f t="shared" si="20"/>
        <v>5302195.42</v>
      </c>
      <c r="W254" s="238">
        <f t="shared" si="20"/>
        <v>44931644.56</v>
      </c>
      <c r="X254" s="239">
        <f t="shared" si="20"/>
        <v>129085282.77</v>
      </c>
    </row>
    <row r="255" spans="1:24" s="345" customFormat="1" ht="13.5" thickBot="1">
      <c r="A255" s="240"/>
      <c r="B255" s="464" t="s">
        <v>759</v>
      </c>
      <c r="C255" s="465"/>
      <c r="D255" s="465"/>
      <c r="E255" s="465"/>
      <c r="F255" s="465"/>
      <c r="G255" s="466"/>
      <c r="H255" s="241">
        <f>H212+H245</f>
        <v>2638815.6</v>
      </c>
      <c r="I255" s="241">
        <f t="shared" si="20"/>
        <v>5831854</v>
      </c>
      <c r="J255" s="241">
        <f t="shared" si="20"/>
        <v>5865080</v>
      </c>
      <c r="K255" s="241">
        <f t="shared" si="20"/>
        <v>5567786</v>
      </c>
      <c r="L255" s="241">
        <f t="shared" si="20"/>
        <v>4420160</v>
      </c>
      <c r="M255" s="241">
        <f t="shared" si="20"/>
        <v>4188544</v>
      </c>
      <c r="N255" s="241">
        <f t="shared" si="20"/>
        <v>3941460</v>
      </c>
      <c r="O255" s="241">
        <f t="shared" si="20"/>
        <v>3697738</v>
      </c>
      <c r="P255" s="241">
        <f t="shared" si="20"/>
        <v>3446471</v>
      </c>
      <c r="Q255" s="241">
        <f t="shared" si="20"/>
        <v>3206435</v>
      </c>
      <c r="R255" s="241">
        <f t="shared" si="20"/>
        <v>2951940</v>
      </c>
      <c r="S255" s="241">
        <f t="shared" si="20"/>
        <v>2715946</v>
      </c>
      <c r="T255" s="241">
        <f t="shared" si="20"/>
        <v>2494507</v>
      </c>
      <c r="U255" s="241">
        <f t="shared" si="20"/>
        <v>2292081</v>
      </c>
      <c r="V255" s="241">
        <f t="shared" si="20"/>
        <v>2125777</v>
      </c>
      <c r="W255" s="241">
        <f t="shared" si="20"/>
        <v>11772908</v>
      </c>
      <c r="X255" s="242">
        <f t="shared" si="20"/>
        <v>67157502.6</v>
      </c>
    </row>
    <row r="256" spans="1:24" s="345" customFormat="1" ht="13.5" thickTop="1">
      <c r="A256" s="243"/>
      <c r="B256" s="467" t="s">
        <v>786</v>
      </c>
      <c r="C256" s="468"/>
      <c r="D256" s="468"/>
      <c r="E256" s="468"/>
      <c r="F256" s="468"/>
      <c r="G256" s="469"/>
      <c r="H256" s="244">
        <f>SUM(H254:H255)</f>
        <v>8985070.069999998</v>
      </c>
      <c r="I256" s="244">
        <f aca="true" t="shared" si="21" ref="I256:X256">SUM(I254:I255)</f>
        <v>11124482.04</v>
      </c>
      <c r="J256" s="244">
        <f t="shared" si="21"/>
        <v>11954931.48</v>
      </c>
      <c r="K256" s="244">
        <f t="shared" si="21"/>
        <v>11896721.719999999</v>
      </c>
      <c r="L256" s="244">
        <f t="shared" si="21"/>
        <v>10130409.73</v>
      </c>
      <c r="M256" s="244">
        <f t="shared" si="21"/>
        <v>9701911.379999999</v>
      </c>
      <c r="N256" s="244">
        <f t="shared" si="21"/>
        <v>9611853.719999999</v>
      </c>
      <c r="O256" s="244">
        <f t="shared" si="21"/>
        <v>9630429.27</v>
      </c>
      <c r="P256" s="244">
        <f t="shared" si="21"/>
        <v>9270538.84</v>
      </c>
      <c r="Q256" s="244">
        <f t="shared" si="21"/>
        <v>8973318.79</v>
      </c>
      <c r="R256" s="244">
        <f t="shared" si="21"/>
        <v>8592809.84</v>
      </c>
      <c r="S256" s="244">
        <f t="shared" si="21"/>
        <v>7868057.88</v>
      </c>
      <c r="T256" s="244">
        <f t="shared" si="21"/>
        <v>7327565.64</v>
      </c>
      <c r="U256" s="244">
        <f t="shared" si="21"/>
        <v>7042159.99</v>
      </c>
      <c r="V256" s="244">
        <f t="shared" si="21"/>
        <v>7427972.42</v>
      </c>
      <c r="W256" s="244">
        <f t="shared" si="21"/>
        <v>56704552.56</v>
      </c>
      <c r="X256" s="244">
        <f t="shared" si="21"/>
        <v>196242785.37</v>
      </c>
    </row>
    <row r="257" spans="1:24" s="345" customFormat="1" ht="12.75">
      <c r="A257" s="245"/>
      <c r="B257" s="470" t="s">
        <v>761</v>
      </c>
      <c r="C257" s="471"/>
      <c r="D257" s="471"/>
      <c r="E257" s="471"/>
      <c r="F257" s="472"/>
      <c r="G257" s="288" t="s">
        <v>762</v>
      </c>
      <c r="H257" s="246">
        <f>SUM(H256/$E$248)</f>
        <v>0.13221890179027262</v>
      </c>
      <c r="I257" s="246">
        <f>SUM(I256/$E$248)</f>
        <v>0.16370120509415367</v>
      </c>
      <c r="J257" s="246">
        <f aca="true" t="shared" si="22" ref="J257:V257">SUM(J256/$E$248)</f>
        <v>0.17592160093900736</v>
      </c>
      <c r="K257" s="246">
        <f t="shared" si="22"/>
        <v>0.17506502102580523</v>
      </c>
      <c r="L257" s="246">
        <f t="shared" si="22"/>
        <v>0.1490730332374684</v>
      </c>
      <c r="M257" s="246">
        <f t="shared" si="22"/>
        <v>0.14276750853765444</v>
      </c>
      <c r="N257" s="246">
        <f t="shared" si="22"/>
        <v>0.14144227403082973</v>
      </c>
      <c r="O257" s="246">
        <f t="shared" si="22"/>
        <v>0.1417156206827775</v>
      </c>
      <c r="P257" s="246">
        <f t="shared" si="22"/>
        <v>0.13641968898177642</v>
      </c>
      <c r="Q257" s="246">
        <f t="shared" si="22"/>
        <v>0.13204597700236054</v>
      </c>
      <c r="R257" s="246">
        <f t="shared" si="22"/>
        <v>0.12644663552829125</v>
      </c>
      <c r="S257" s="246">
        <f t="shared" si="22"/>
        <v>0.1157816204004184</v>
      </c>
      <c r="T257" s="246">
        <f t="shared" si="22"/>
        <v>0.10782806079073085</v>
      </c>
      <c r="U257" s="246">
        <f t="shared" si="22"/>
        <v>0.10362820243528689</v>
      </c>
      <c r="V257" s="246">
        <f t="shared" si="22"/>
        <v>0.10930558673994112</v>
      </c>
      <c r="W257" s="246"/>
      <c r="X257" s="246"/>
    </row>
    <row r="258" spans="1:24" s="345" customFormat="1" ht="12.75">
      <c r="A258" s="245"/>
      <c r="B258" s="470" t="s">
        <v>763</v>
      </c>
      <c r="C258" s="471"/>
      <c r="D258" s="471"/>
      <c r="E258" s="471"/>
      <c r="F258" s="472"/>
      <c r="G258" s="288" t="s">
        <v>762</v>
      </c>
      <c r="H258" s="247">
        <f>SUM((H256-H219-H250)/$E$248)</f>
        <v>0.11233432438610512</v>
      </c>
      <c r="I258" s="247">
        <f>SUM((I256)/$E$248)</f>
        <v>0.16370120509415367</v>
      </c>
      <c r="J258" s="247">
        <f aca="true" t="shared" si="23" ref="J258:U258">SUM((J256)/$E$248)</f>
        <v>0.17592160093900736</v>
      </c>
      <c r="K258" s="247">
        <f t="shared" si="23"/>
        <v>0.17506502102580523</v>
      </c>
      <c r="L258" s="247">
        <f t="shared" si="23"/>
        <v>0.1490730332374684</v>
      </c>
      <c r="M258" s="247">
        <f t="shared" si="23"/>
        <v>0.14276750853765444</v>
      </c>
      <c r="N258" s="247">
        <f t="shared" si="23"/>
        <v>0.14144227403082973</v>
      </c>
      <c r="O258" s="247">
        <f t="shared" si="23"/>
        <v>0.1417156206827775</v>
      </c>
      <c r="P258" s="247">
        <f t="shared" si="23"/>
        <v>0.13641968898177642</v>
      </c>
      <c r="Q258" s="247">
        <f t="shared" si="23"/>
        <v>0.13204597700236054</v>
      </c>
      <c r="R258" s="247">
        <f t="shared" si="23"/>
        <v>0.12644663552829125</v>
      </c>
      <c r="S258" s="247">
        <f t="shared" si="23"/>
        <v>0.1157816204004184</v>
      </c>
      <c r="T258" s="247">
        <f t="shared" si="23"/>
        <v>0.10782806079073085</v>
      </c>
      <c r="U258" s="247">
        <f t="shared" si="23"/>
        <v>0.10362820243528689</v>
      </c>
      <c r="V258" s="247">
        <f>SUM((V256)/$E$248)</f>
        <v>0.10930558673994112</v>
      </c>
      <c r="W258" s="247"/>
      <c r="X258" s="248"/>
    </row>
    <row r="259" spans="1:24" s="345" customFormat="1" ht="15.75">
      <c r="A259" s="135"/>
      <c r="B259" s="165"/>
      <c r="C259" s="294"/>
      <c r="D259" s="294"/>
      <c r="E259" s="294"/>
      <c r="F259" s="135"/>
      <c r="G259" s="135"/>
      <c r="H259" s="275"/>
      <c r="I259" s="135"/>
      <c r="J259" s="135"/>
      <c r="K259" s="135"/>
      <c r="L259" s="135"/>
      <c r="M259" s="135"/>
      <c r="N259" s="135"/>
      <c r="O259" s="135"/>
      <c r="P259" s="135"/>
      <c r="Q259" s="135"/>
      <c r="R259" s="249"/>
      <c r="S259" s="249"/>
      <c r="T259" s="249"/>
      <c r="U259" s="249"/>
      <c r="V259" s="249"/>
      <c r="W259" s="249"/>
      <c r="X259" s="235"/>
    </row>
    <row r="260" spans="1:24" s="213" customFormat="1" ht="18.75">
      <c r="A260" s="131"/>
      <c r="B260" s="147"/>
      <c r="C260" s="142"/>
      <c r="D260" s="142"/>
      <c r="E260" s="342"/>
      <c r="F260" s="275"/>
      <c r="G260" s="275"/>
      <c r="H260" s="352"/>
      <c r="I260" s="352"/>
      <c r="J260" s="353"/>
      <c r="K260" s="353"/>
      <c r="L260" s="353"/>
      <c r="M260" s="353"/>
      <c r="N260" s="460" t="s">
        <v>996</v>
      </c>
      <c r="O260" s="460"/>
      <c r="P260" s="460"/>
      <c r="Q260" s="460"/>
      <c r="R260" s="460"/>
      <c r="S260" s="460"/>
      <c r="T260" s="460"/>
      <c r="U260" s="460"/>
      <c r="V260" s="460"/>
      <c r="W260" s="460"/>
      <c r="X260" s="460"/>
    </row>
    <row r="261" spans="1:24" s="213" customFormat="1" ht="18" customHeight="1">
      <c r="A261" s="131"/>
      <c r="B261" s="147"/>
      <c r="C261" s="142"/>
      <c r="D261" s="142"/>
      <c r="E261" s="342"/>
      <c r="F261" s="275"/>
      <c r="G261" s="275"/>
      <c r="H261" s="352"/>
      <c r="I261" s="352"/>
      <c r="J261" s="352"/>
      <c r="K261" s="352"/>
      <c r="L261" s="352"/>
      <c r="M261" s="352"/>
      <c r="N261" s="352"/>
      <c r="O261" s="352"/>
      <c r="P261" s="352"/>
      <c r="Q261" s="352"/>
      <c r="R261" s="352"/>
      <c r="S261" s="352"/>
      <c r="T261" s="352"/>
      <c r="U261" s="352"/>
      <c r="V261" s="352"/>
      <c r="W261" s="352"/>
      <c r="X261" s="354"/>
    </row>
    <row r="262" spans="1:24" s="213" customFormat="1" ht="18.75">
      <c r="A262" s="131"/>
      <c r="B262" s="147"/>
      <c r="C262" s="142"/>
      <c r="D262" s="142"/>
      <c r="E262" s="342"/>
      <c r="F262" s="275"/>
      <c r="G262" s="275"/>
      <c r="H262" s="355"/>
      <c r="I262" s="355"/>
      <c r="J262" s="355"/>
      <c r="K262" s="275"/>
      <c r="L262" s="275"/>
      <c r="M262" s="275"/>
      <c r="N262" s="275"/>
      <c r="O262" s="275"/>
      <c r="P262" s="275"/>
      <c r="Q262" s="275"/>
      <c r="R262" s="355"/>
      <c r="S262" s="356"/>
      <c r="T262" s="356"/>
      <c r="U262" s="356"/>
      <c r="V262" s="356"/>
      <c r="W262" s="356"/>
      <c r="X262" s="135"/>
    </row>
    <row r="263" spans="1:24" s="213" customFormat="1" ht="15.75">
      <c r="A263" s="131"/>
      <c r="B263" s="147"/>
      <c r="C263" s="142"/>
      <c r="D263" s="142"/>
      <c r="E263" s="342"/>
      <c r="F263" s="275"/>
      <c r="G263" s="275"/>
      <c r="H263" s="357"/>
      <c r="I263" s="358"/>
      <c r="J263" s="358"/>
      <c r="K263" s="358"/>
      <c r="L263" s="358"/>
      <c r="M263" s="358"/>
      <c r="N263" s="358"/>
      <c r="O263" s="358"/>
      <c r="P263" s="358"/>
      <c r="Q263" s="358"/>
      <c r="R263" s="276"/>
      <c r="S263" s="276"/>
      <c r="T263" s="276"/>
      <c r="U263" s="276"/>
      <c r="V263" s="276"/>
      <c r="W263" s="276"/>
      <c r="X263" s="135"/>
    </row>
    <row r="264" spans="1:24" s="213" customFormat="1" ht="15">
      <c r="A264" s="131"/>
      <c r="B264" s="147"/>
      <c r="C264" s="250"/>
      <c r="D264" s="250"/>
      <c r="E264" s="271"/>
      <c r="F264" s="271"/>
      <c r="G264" s="276"/>
      <c r="H264" s="271"/>
      <c r="I264" s="276"/>
      <c r="J264" s="276"/>
      <c r="K264" s="276"/>
      <c r="L264" s="276"/>
      <c r="M264" s="276"/>
      <c r="N264" s="276"/>
      <c r="O264" s="276"/>
      <c r="P264" s="276"/>
      <c r="Q264" s="276"/>
      <c r="R264" s="275"/>
      <c r="S264" s="275"/>
      <c r="T264" s="275"/>
      <c r="U264" s="275"/>
      <c r="V264" s="275"/>
      <c r="W264" s="275"/>
      <c r="X264" s="135"/>
    </row>
    <row r="265" spans="1:24" s="213" customFormat="1" ht="15">
      <c r="A265" s="131"/>
      <c r="B265" s="250"/>
      <c r="C265" s="250"/>
      <c r="D265" s="250"/>
      <c r="E265" s="271"/>
      <c r="F265" s="271"/>
      <c r="G265" s="276"/>
      <c r="H265" s="275"/>
      <c r="I265" s="275"/>
      <c r="J265" s="275"/>
      <c r="K265" s="275"/>
      <c r="L265" s="275"/>
      <c r="M265" s="275"/>
      <c r="N265" s="275"/>
      <c r="O265" s="275"/>
      <c r="P265" s="275"/>
      <c r="Q265" s="275"/>
      <c r="R265" s="275"/>
      <c r="S265" s="275"/>
      <c r="T265" s="275"/>
      <c r="U265" s="275"/>
      <c r="V265" s="275"/>
      <c r="W265" s="275"/>
      <c r="X265" s="135"/>
    </row>
    <row r="266" spans="2:7" ht="15">
      <c r="B266" s="250"/>
      <c r="C266" s="250"/>
      <c r="D266" s="250"/>
      <c r="E266" s="271"/>
      <c r="F266" s="271"/>
      <c r="G266" s="276"/>
    </row>
    <row r="267" spans="2:7" ht="15">
      <c r="B267" s="250"/>
      <c r="C267" s="250"/>
      <c r="D267" s="250"/>
      <c r="E267" s="271"/>
      <c r="F267" s="271"/>
      <c r="G267" s="276"/>
    </row>
    <row r="268" spans="3:7" ht="15">
      <c r="C268" s="250"/>
      <c r="D268" s="250"/>
      <c r="E268" s="271"/>
      <c r="F268" s="271"/>
      <c r="G268" s="276"/>
    </row>
    <row r="269" spans="3:7" ht="15">
      <c r="C269" s="250"/>
      <c r="D269" s="250"/>
      <c r="E269" s="271"/>
      <c r="F269" s="271"/>
      <c r="G269" s="276"/>
    </row>
  </sheetData>
  <sheetProtection/>
  <mergeCells count="568">
    <mergeCell ref="A209:A210"/>
    <mergeCell ref="C209:C210"/>
    <mergeCell ref="B214:F214"/>
    <mergeCell ref="B215:F215"/>
    <mergeCell ref="C224:G224"/>
    <mergeCell ref="C225:G225"/>
    <mergeCell ref="D209:D210"/>
    <mergeCell ref="E209:E210"/>
    <mergeCell ref="F209:F210"/>
    <mergeCell ref="B211:F211"/>
    <mergeCell ref="A185:A186"/>
    <mergeCell ref="C185:C186"/>
    <mergeCell ref="D185:D186"/>
    <mergeCell ref="E185:E186"/>
    <mergeCell ref="F185:F186"/>
    <mergeCell ref="A187:A188"/>
    <mergeCell ref="C187:C188"/>
    <mergeCell ref="D187:D188"/>
    <mergeCell ref="E187:E188"/>
    <mergeCell ref="F187:F188"/>
    <mergeCell ref="A181:A182"/>
    <mergeCell ref="C181:C182"/>
    <mergeCell ref="D181:D182"/>
    <mergeCell ref="E181:E182"/>
    <mergeCell ref="F181:F182"/>
    <mergeCell ref="A183:A184"/>
    <mergeCell ref="C183:C184"/>
    <mergeCell ref="D183:D184"/>
    <mergeCell ref="E183:E184"/>
    <mergeCell ref="F183:F184"/>
    <mergeCell ref="A177:A178"/>
    <mergeCell ref="C177:C178"/>
    <mergeCell ref="D177:D178"/>
    <mergeCell ref="E177:E178"/>
    <mergeCell ref="F177:F178"/>
    <mergeCell ref="A179:A180"/>
    <mergeCell ref="C179:C180"/>
    <mergeCell ref="D179:D180"/>
    <mergeCell ref="E179:E180"/>
    <mergeCell ref="F179:F180"/>
    <mergeCell ref="A173:A174"/>
    <mergeCell ref="C173:C174"/>
    <mergeCell ref="D173:D174"/>
    <mergeCell ref="E173:E174"/>
    <mergeCell ref="F173:F174"/>
    <mergeCell ref="A175:A176"/>
    <mergeCell ref="C175:C176"/>
    <mergeCell ref="D175:D176"/>
    <mergeCell ref="E175:E176"/>
    <mergeCell ref="F175:F176"/>
    <mergeCell ref="A169:A170"/>
    <mergeCell ref="C169:C170"/>
    <mergeCell ref="D169:D170"/>
    <mergeCell ref="E169:E170"/>
    <mergeCell ref="F169:F170"/>
    <mergeCell ref="A171:A172"/>
    <mergeCell ref="C171:C172"/>
    <mergeCell ref="D171:D172"/>
    <mergeCell ref="E171:E172"/>
    <mergeCell ref="F171:F172"/>
    <mergeCell ref="A165:A166"/>
    <mergeCell ref="C165:C166"/>
    <mergeCell ref="D165:D166"/>
    <mergeCell ref="E165:E166"/>
    <mergeCell ref="F165:F166"/>
    <mergeCell ref="A167:A168"/>
    <mergeCell ref="C167:C168"/>
    <mergeCell ref="D167:D168"/>
    <mergeCell ref="E167:E168"/>
    <mergeCell ref="F167:F168"/>
    <mergeCell ref="A161:A162"/>
    <mergeCell ref="C161:C162"/>
    <mergeCell ref="D161:D162"/>
    <mergeCell ref="E161:E162"/>
    <mergeCell ref="F161:F162"/>
    <mergeCell ref="A163:A164"/>
    <mergeCell ref="C163:C164"/>
    <mergeCell ref="D163:D164"/>
    <mergeCell ref="E163:E164"/>
    <mergeCell ref="F163:F164"/>
    <mergeCell ref="A157:A158"/>
    <mergeCell ref="C157:C158"/>
    <mergeCell ref="D157:D158"/>
    <mergeCell ref="E157:E158"/>
    <mergeCell ref="F157:F158"/>
    <mergeCell ref="A159:A160"/>
    <mergeCell ref="C159:C160"/>
    <mergeCell ref="D159:D160"/>
    <mergeCell ref="E159:E160"/>
    <mergeCell ref="F159:F160"/>
    <mergeCell ref="A153:A154"/>
    <mergeCell ref="C153:C154"/>
    <mergeCell ref="D153:D154"/>
    <mergeCell ref="E153:E154"/>
    <mergeCell ref="F153:F154"/>
    <mergeCell ref="A155:A156"/>
    <mergeCell ref="C155:C156"/>
    <mergeCell ref="D155:D156"/>
    <mergeCell ref="E155:E156"/>
    <mergeCell ref="F155:F156"/>
    <mergeCell ref="A149:A150"/>
    <mergeCell ref="C149:C150"/>
    <mergeCell ref="D149:D150"/>
    <mergeCell ref="E149:E150"/>
    <mergeCell ref="F149:F150"/>
    <mergeCell ref="A151:A152"/>
    <mergeCell ref="C151:C152"/>
    <mergeCell ref="D151:D152"/>
    <mergeCell ref="E151:E152"/>
    <mergeCell ref="F151:F152"/>
    <mergeCell ref="A145:A146"/>
    <mergeCell ref="C145:C146"/>
    <mergeCell ref="D145:D146"/>
    <mergeCell ref="E145:E146"/>
    <mergeCell ref="F145:F146"/>
    <mergeCell ref="A147:A148"/>
    <mergeCell ref="C147:C148"/>
    <mergeCell ref="D147:D148"/>
    <mergeCell ref="E147:E148"/>
    <mergeCell ref="F147:F148"/>
    <mergeCell ref="A141:A142"/>
    <mergeCell ref="C141:C142"/>
    <mergeCell ref="D141:D142"/>
    <mergeCell ref="E141:E142"/>
    <mergeCell ref="F141:F142"/>
    <mergeCell ref="A143:A144"/>
    <mergeCell ref="C143:C144"/>
    <mergeCell ref="D143:D144"/>
    <mergeCell ref="E143:E144"/>
    <mergeCell ref="F143:F144"/>
    <mergeCell ref="A137:A138"/>
    <mergeCell ref="C137:C138"/>
    <mergeCell ref="D137:D138"/>
    <mergeCell ref="E137:E138"/>
    <mergeCell ref="F137:F138"/>
    <mergeCell ref="A139:A140"/>
    <mergeCell ref="C139:C140"/>
    <mergeCell ref="D139:D140"/>
    <mergeCell ref="E139:E140"/>
    <mergeCell ref="F139:F140"/>
    <mergeCell ref="A133:A134"/>
    <mergeCell ref="C133:C134"/>
    <mergeCell ref="D133:D134"/>
    <mergeCell ref="E133:E134"/>
    <mergeCell ref="F133:F134"/>
    <mergeCell ref="A135:A136"/>
    <mergeCell ref="C135:C136"/>
    <mergeCell ref="D135:D136"/>
    <mergeCell ref="E135:E136"/>
    <mergeCell ref="F135:F136"/>
    <mergeCell ref="A129:A130"/>
    <mergeCell ref="C129:C130"/>
    <mergeCell ref="D129:D130"/>
    <mergeCell ref="E129:E130"/>
    <mergeCell ref="F129:F130"/>
    <mergeCell ref="A131:A132"/>
    <mergeCell ref="C131:C132"/>
    <mergeCell ref="D131:D132"/>
    <mergeCell ref="E131:E132"/>
    <mergeCell ref="F131:F132"/>
    <mergeCell ref="A125:A126"/>
    <mergeCell ref="C125:C126"/>
    <mergeCell ref="D125:D126"/>
    <mergeCell ref="E125:E126"/>
    <mergeCell ref="F125:F126"/>
    <mergeCell ref="A127:A128"/>
    <mergeCell ref="C127:C128"/>
    <mergeCell ref="D127:D128"/>
    <mergeCell ref="E127:E128"/>
    <mergeCell ref="F127:F128"/>
    <mergeCell ref="A121:A122"/>
    <mergeCell ref="C121:C122"/>
    <mergeCell ref="D121:D122"/>
    <mergeCell ref="E121:E122"/>
    <mergeCell ref="F121:F122"/>
    <mergeCell ref="A123:A124"/>
    <mergeCell ref="C123:C124"/>
    <mergeCell ref="D123:D124"/>
    <mergeCell ref="E123:E124"/>
    <mergeCell ref="F123:F124"/>
    <mergeCell ref="A117:A118"/>
    <mergeCell ref="C117:C118"/>
    <mergeCell ref="D117:D118"/>
    <mergeCell ref="E117:E118"/>
    <mergeCell ref="F117:F118"/>
    <mergeCell ref="A119:A120"/>
    <mergeCell ref="C119:C120"/>
    <mergeCell ref="D119:D120"/>
    <mergeCell ref="E119:E120"/>
    <mergeCell ref="F119:F120"/>
    <mergeCell ref="A113:A114"/>
    <mergeCell ref="C113:C114"/>
    <mergeCell ref="D113:D114"/>
    <mergeCell ref="E113:E114"/>
    <mergeCell ref="F113:F114"/>
    <mergeCell ref="A115:A116"/>
    <mergeCell ref="C115:C116"/>
    <mergeCell ref="D115:D116"/>
    <mergeCell ref="E115:E116"/>
    <mergeCell ref="F115:F116"/>
    <mergeCell ref="A109:A110"/>
    <mergeCell ref="C109:C110"/>
    <mergeCell ref="D109:D110"/>
    <mergeCell ref="E109:E110"/>
    <mergeCell ref="F109:F110"/>
    <mergeCell ref="A111:A112"/>
    <mergeCell ref="C111:C112"/>
    <mergeCell ref="D111:D112"/>
    <mergeCell ref="E111:E112"/>
    <mergeCell ref="F111:F112"/>
    <mergeCell ref="A105:A106"/>
    <mergeCell ref="C105:C106"/>
    <mergeCell ref="D105:D106"/>
    <mergeCell ref="E105:E106"/>
    <mergeCell ref="F105:F106"/>
    <mergeCell ref="A107:A108"/>
    <mergeCell ref="C107:C108"/>
    <mergeCell ref="D107:D108"/>
    <mergeCell ref="E107:E108"/>
    <mergeCell ref="F107:F108"/>
    <mergeCell ref="A101:A102"/>
    <mergeCell ref="C101:C102"/>
    <mergeCell ref="D101:D102"/>
    <mergeCell ref="E101:E102"/>
    <mergeCell ref="F101:F102"/>
    <mergeCell ref="A103:A104"/>
    <mergeCell ref="C103:C104"/>
    <mergeCell ref="D103:D104"/>
    <mergeCell ref="E103:E104"/>
    <mergeCell ref="F103:F104"/>
    <mergeCell ref="A97:A98"/>
    <mergeCell ref="C97:C98"/>
    <mergeCell ref="D97:D98"/>
    <mergeCell ref="E97:E98"/>
    <mergeCell ref="F97:F98"/>
    <mergeCell ref="A99:A100"/>
    <mergeCell ref="C99:C100"/>
    <mergeCell ref="D99:D100"/>
    <mergeCell ref="E99:E100"/>
    <mergeCell ref="F99:F100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4:G4"/>
    <mergeCell ref="A5:A6"/>
    <mergeCell ref="B5:B6"/>
    <mergeCell ref="C5:C6"/>
    <mergeCell ref="A7:A8"/>
    <mergeCell ref="C7:C8"/>
    <mergeCell ref="D7:D8"/>
    <mergeCell ref="E7:E8"/>
    <mergeCell ref="F7:F8"/>
    <mergeCell ref="A189:A190"/>
    <mergeCell ref="C189:C190"/>
    <mergeCell ref="D189:D190"/>
    <mergeCell ref="E189:E190"/>
    <mergeCell ref="F189:F190"/>
    <mergeCell ref="A191:A192"/>
    <mergeCell ref="C191:C192"/>
    <mergeCell ref="D191:D192"/>
    <mergeCell ref="E191:E192"/>
    <mergeCell ref="F191:F192"/>
    <mergeCell ref="A193:A194"/>
    <mergeCell ref="C193:C194"/>
    <mergeCell ref="D193:D194"/>
    <mergeCell ref="E193:E194"/>
    <mergeCell ref="F193:F194"/>
    <mergeCell ref="A195:A196"/>
    <mergeCell ref="C195:C196"/>
    <mergeCell ref="D195:D196"/>
    <mergeCell ref="E195:E196"/>
    <mergeCell ref="F195:F196"/>
    <mergeCell ref="A197:A198"/>
    <mergeCell ref="C197:C198"/>
    <mergeCell ref="D197:D198"/>
    <mergeCell ref="E197:E198"/>
    <mergeCell ref="F197:F198"/>
    <mergeCell ref="A199:A200"/>
    <mergeCell ref="C199:C200"/>
    <mergeCell ref="D199:D200"/>
    <mergeCell ref="E199:E200"/>
    <mergeCell ref="F199:F200"/>
    <mergeCell ref="A201:A202"/>
    <mergeCell ref="C201:C202"/>
    <mergeCell ref="D201:D202"/>
    <mergeCell ref="E201:E202"/>
    <mergeCell ref="F201:F202"/>
    <mergeCell ref="A203:A204"/>
    <mergeCell ref="C203:C204"/>
    <mergeCell ref="D203:D204"/>
    <mergeCell ref="E203:E204"/>
    <mergeCell ref="F203:F204"/>
    <mergeCell ref="D205:D206"/>
    <mergeCell ref="E205:E206"/>
    <mergeCell ref="F205:F206"/>
    <mergeCell ref="A207:A208"/>
    <mergeCell ref="C207:C208"/>
    <mergeCell ref="D207:D208"/>
    <mergeCell ref="E207:E208"/>
    <mergeCell ref="F207:F208"/>
    <mergeCell ref="A205:A206"/>
    <mergeCell ref="C205:C206"/>
    <mergeCell ref="B212:F212"/>
    <mergeCell ref="B213:F213"/>
    <mergeCell ref="B216:D216"/>
    <mergeCell ref="B217:D217"/>
    <mergeCell ref="E219:G219"/>
    <mergeCell ref="E220:G220"/>
    <mergeCell ref="E221:G221"/>
    <mergeCell ref="E222:G222"/>
    <mergeCell ref="A230:A231"/>
    <mergeCell ref="C230:C231"/>
    <mergeCell ref="E230:E231"/>
    <mergeCell ref="F230:F231"/>
    <mergeCell ref="A232:A233"/>
    <mergeCell ref="C232:C233"/>
    <mergeCell ref="E232:E233"/>
    <mergeCell ref="F232:F233"/>
    <mergeCell ref="A234:A235"/>
    <mergeCell ref="C234:C235"/>
    <mergeCell ref="E234:E235"/>
    <mergeCell ref="F234:F235"/>
    <mergeCell ref="F242:F243"/>
    <mergeCell ref="A236:A237"/>
    <mergeCell ref="C236:C237"/>
    <mergeCell ref="E236:E237"/>
    <mergeCell ref="F236:F237"/>
    <mergeCell ref="A238:A239"/>
    <mergeCell ref="C238:C239"/>
    <mergeCell ref="E238:E239"/>
    <mergeCell ref="F238:F239"/>
    <mergeCell ref="E250:G250"/>
    <mergeCell ref="E251:G251"/>
    <mergeCell ref="B254:G254"/>
    <mergeCell ref="A240:A241"/>
    <mergeCell ref="C240:C241"/>
    <mergeCell ref="E240:E241"/>
    <mergeCell ref="F240:F241"/>
    <mergeCell ref="A242:A243"/>
    <mergeCell ref="C242:C243"/>
    <mergeCell ref="E242:E243"/>
    <mergeCell ref="N260:X260"/>
    <mergeCell ref="B244:F244"/>
    <mergeCell ref="B245:F245"/>
    <mergeCell ref="B255:G255"/>
    <mergeCell ref="B256:G256"/>
    <mergeCell ref="B257:F257"/>
    <mergeCell ref="B258:F258"/>
    <mergeCell ref="B246:F246"/>
    <mergeCell ref="B247:D247"/>
    <mergeCell ref="B248:D24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4" r:id="rId1"/>
  <headerFooter alignWithMargins="0">
    <oddFooter>&amp;R&amp;P</oddFooter>
  </headerFooter>
  <rowBreaks count="5" manualBreakCount="5">
    <brk id="44" max="255" man="1"/>
    <brk id="88" max="255" man="1"/>
    <brk id="130" max="255" man="1"/>
    <brk id="174" max="255" man="1"/>
    <brk id="2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Sanita Djadela</dc:creator>
  <cp:keywords/>
  <dc:description/>
  <cp:lastModifiedBy>Sanita Djadela</cp:lastModifiedBy>
  <cp:lastPrinted>2023-08-15T12:56:01Z</cp:lastPrinted>
  <dcterms:created xsi:type="dcterms:W3CDTF">2021-02-15T14:27:02Z</dcterms:created>
  <dcterms:modified xsi:type="dcterms:W3CDTF">2023-08-28T05:20:57Z</dcterms:modified>
  <cp:category/>
  <cp:version/>
  <cp:contentType/>
  <cp:contentStatus/>
</cp:coreProperties>
</file>